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55" tabRatio="623" activeTab="1"/>
  </bookViews>
  <sheets>
    <sheet name="Revenues" sheetId="5" r:id="rId1"/>
    <sheet name="Reccurrent Budget" sheetId="1" r:id="rId2"/>
    <sheet name="Development Budget" sheetId="8" r:id="rId3"/>
    <sheet name="Sheet2" sheetId="7" r:id="rId4"/>
    <sheet name="Revenues (2)" sheetId="9" r:id="rId5"/>
  </sheets>
  <externalReferences>
    <externalReference r:id="rId6"/>
  </externalReferences>
  <definedNames>
    <definedName name="_xlnm.Print_Area" localSheetId="2">'Development Budget'!$A$1:$I$271</definedName>
    <definedName name="_xlnm.Print_Area" localSheetId="1">'Reccurrent Budget'!$A$1:$J$770</definedName>
    <definedName name="_xlnm.Print_Area" localSheetId="0">Revenues!$A$1:$J$26</definedName>
    <definedName name="_xlnm.Print_Area" localSheetId="4">'Revenues (2)'!$A$1:$K$26</definedName>
    <definedName name="_xlnm.Print_Titles" localSheetId="2">'Development Budget'!$4:$4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<sst xmlns="http://schemas.openxmlformats.org/spreadsheetml/2006/main" count="1307" uniqueCount="793">
  <si>
    <t>MURANG'A COUNTY GOVERNMENT</t>
  </si>
  <si>
    <t>REVENUE ESTIMATES 2025/2026 AND THE MEDIUM TERM</t>
  </si>
  <si>
    <t>PARTICULARS</t>
  </si>
  <si>
    <t>BUDGET 2024/2025</t>
  </si>
  <si>
    <t>MOVEMENT</t>
  </si>
  <si>
    <t>SUPPLEMENTARY BUDGET</t>
  </si>
  <si>
    <t>BUDGET 2025/2026</t>
  </si>
  <si>
    <t>BUDGET 2026/2027</t>
  </si>
  <si>
    <t>BUDGET 2025-2026</t>
  </si>
  <si>
    <t>BUDGET 2026-2027</t>
  </si>
  <si>
    <t>BUDGET  2027-2028</t>
  </si>
  <si>
    <t>Shareable Revenue</t>
  </si>
  <si>
    <t>CRF Carried Forward</t>
  </si>
  <si>
    <t>Nutritional International</t>
  </si>
  <si>
    <t>Finance for Locally Led Climate Action (FLLoCA)</t>
  </si>
  <si>
    <t>Finance for Locally Led Climate Action (FLLoCA) Carried Forward from 2024/2025</t>
  </si>
  <si>
    <t>FLLOCA Carried Forward</t>
  </si>
  <si>
    <t>Road Maintenance Fuel Levy</t>
  </si>
  <si>
    <t>County Government Health Workers 2024-2025</t>
  </si>
  <si>
    <t>Community health promoters</t>
  </si>
  <si>
    <t>Primary health care in Devolved context program - DANIDA</t>
  </si>
  <si>
    <t>Additional Allocation for Court Fines 2024-2025</t>
  </si>
  <si>
    <t>Kenya Agricultural Business Development Project</t>
  </si>
  <si>
    <t>KDSP-Level One</t>
  </si>
  <si>
    <t>KDSP-Level TWO</t>
  </si>
  <si>
    <t>National Agricultural Value Chain Development Program</t>
  </si>
  <si>
    <t>Kenya Urban Support Program – Urban Institution Grant</t>
  </si>
  <si>
    <t>Kenya Urban Support Program – Urban Development  Grant</t>
  </si>
  <si>
    <t>Local Revenue</t>
  </si>
  <si>
    <t xml:space="preserve">Disposal/Leasing of Assets </t>
  </si>
  <si>
    <t>County Aggregated Industrial Parks</t>
  </si>
  <si>
    <t>Total Revenues</t>
  </si>
  <si>
    <t>MURANGÁ COUNTY GOVERNMENT</t>
  </si>
  <si>
    <t>MURANGA COUNTY GOVERNMENT</t>
  </si>
  <si>
    <t xml:space="preserve">RECURRENT BUDGET ESTIMATES </t>
  </si>
  <si>
    <t>2025 - 2026</t>
  </si>
  <si>
    <t>PROGRAMME</t>
  </si>
  <si>
    <t>SUB-PROGRAMME</t>
  </si>
  <si>
    <t>DEPARTMENT</t>
  </si>
  <si>
    <t>APPROVED BUDGET 2024-2025</t>
  </si>
  <si>
    <t>PROPOSED BUDGET 2025-2026</t>
  </si>
  <si>
    <t>FY 2026-2027</t>
  </si>
  <si>
    <t>FY-2027-2028</t>
  </si>
  <si>
    <t>2026-2027</t>
  </si>
  <si>
    <t xml:space="preserve">GOVERNORSHIP, COUNTY COORDINATION AND ADMINISTRATION </t>
  </si>
  <si>
    <t>R-01</t>
  </si>
  <si>
    <t xml:space="preserve">Governorship, County Coordination And Administration  </t>
  </si>
  <si>
    <t>R-02</t>
  </si>
  <si>
    <t>County Assembly</t>
  </si>
  <si>
    <t xml:space="preserve">Finance, And Economic Planning  </t>
  </si>
  <si>
    <t>R-03</t>
  </si>
  <si>
    <t xml:space="preserve">Agriculture,Livestock And Fisheries  </t>
  </si>
  <si>
    <t>R-04</t>
  </si>
  <si>
    <t xml:space="preserve">Energy Transport And Roads </t>
  </si>
  <si>
    <t>R-05</t>
  </si>
  <si>
    <t xml:space="preserve">Commerce,Trade, Industry And Tourism  </t>
  </si>
  <si>
    <t>R-06</t>
  </si>
  <si>
    <t xml:space="preserve">Education &amp; Technical Training </t>
  </si>
  <si>
    <t>R-07</t>
  </si>
  <si>
    <t xml:space="preserve">Health And Sanitation  </t>
  </si>
  <si>
    <t>R-08</t>
  </si>
  <si>
    <t xml:space="preserve">Lands, Housing &amp; Physical Planning </t>
  </si>
  <si>
    <t>R-09</t>
  </si>
  <si>
    <t xml:space="preserve">County Public Service Board </t>
  </si>
  <si>
    <t>R-10</t>
  </si>
  <si>
    <t xml:space="preserve">Youth,Culture, Gender,Social Services  &amp; Special Programs </t>
  </si>
  <si>
    <t>R-11</t>
  </si>
  <si>
    <t xml:space="preserve">Environment, Natural Resources, Water and Irrigation </t>
  </si>
  <si>
    <t>R-12</t>
  </si>
  <si>
    <t>Public Service Administration &amp; Information Technology</t>
  </si>
  <si>
    <t>R-13</t>
  </si>
  <si>
    <t>Murang'a Municipality</t>
  </si>
  <si>
    <t>R-14</t>
  </si>
  <si>
    <t>Kenol Municipality</t>
  </si>
  <si>
    <t>R-15</t>
  </si>
  <si>
    <t>Kangari Municipality</t>
  </si>
  <si>
    <t>R-16</t>
  </si>
  <si>
    <t>Devolution and External Linkages</t>
  </si>
  <si>
    <t>TOTAL</t>
  </si>
  <si>
    <t xml:space="preserve">GOVERNORSHIP, COUNTY COORDINATION AND GENERAL ADMINISTRATION </t>
  </si>
  <si>
    <t>4012000101 GOVERNORSHIP AND COUNTY CORDINATION</t>
  </si>
  <si>
    <t>GOVERNORSHIP, COUNTY COORDINATION</t>
  </si>
  <si>
    <t>County and Executive Coordination Sub-Program 706014010</t>
  </si>
  <si>
    <t>2110100 Basic Salaries Executives</t>
  </si>
  <si>
    <t>2211101 General Office Supplies (papers, pencils, forms, small office equipment</t>
  </si>
  <si>
    <t>2210302 Accommodation - Domestic Travel</t>
  </si>
  <si>
    <t>2210499 Foreign Travel and Subs.- Others</t>
  </si>
  <si>
    <t>2210502 Publishing and Printing Services</t>
  </si>
  <si>
    <t>2210503 Subscriptions to Newspapers, Magazines and Periodicals</t>
  </si>
  <si>
    <t>2210799 Training Expenses - Other (Bud</t>
  </si>
  <si>
    <t>Office Furnitures</t>
  </si>
  <si>
    <t>Sanitation and cleaning materials</t>
  </si>
  <si>
    <t>Council of Governors</t>
  </si>
  <si>
    <t>2210899 Hospitality Supplies - other (</t>
  </si>
  <si>
    <t>2210802 Boards, Committees, Conferences and Seminars</t>
  </si>
  <si>
    <t>Event organisations</t>
  </si>
  <si>
    <t>Motor Vehicle repairs and maintanance</t>
  </si>
  <si>
    <t>Public Participation</t>
  </si>
  <si>
    <t>Maintenance</t>
  </si>
  <si>
    <t>Legal fees</t>
  </si>
  <si>
    <t>2211299 Fuel Oil and Lubricants - Othe</t>
  </si>
  <si>
    <t>Administration and Executive Coordination</t>
  </si>
  <si>
    <t>Pending bills  General office supplies</t>
  </si>
  <si>
    <t xml:space="preserve">2210899 Hospitality Supplies - other </t>
  </si>
  <si>
    <t>Eventts support</t>
  </si>
  <si>
    <t>2211000 vehicle Leasing/purchase</t>
  </si>
  <si>
    <t>2211001  motor vehicle maintenance</t>
  </si>
  <si>
    <t>2420401 Public Participation</t>
  </si>
  <si>
    <t>2211016 Purchase of Uniforms and Clothing - Staff</t>
  </si>
  <si>
    <t>Uniform and clothings</t>
  </si>
  <si>
    <t>2211100 Office and General Supplies and Services</t>
  </si>
  <si>
    <t>2211199 Computers and accessories</t>
  </si>
  <si>
    <t>Alcoholic Drinks Controls</t>
  </si>
  <si>
    <t>motor vehicle hiring</t>
  </si>
  <si>
    <t>2211306 Membership Fees, Dues and Subscriptions to Professional and Trade Bodies</t>
  </si>
  <si>
    <t>2211199 Printers</t>
  </si>
  <si>
    <t>2211313 Security Operations</t>
  </si>
  <si>
    <t>2211103 sanitary and cleaning material ,supplies and services</t>
  </si>
  <si>
    <t xml:space="preserve">Office Furniture </t>
  </si>
  <si>
    <t>Donations</t>
  </si>
  <si>
    <t>Routine maintenance office furnitures and small office equipments</t>
  </si>
  <si>
    <t>Sub county administation ICT support</t>
  </si>
  <si>
    <t>2220299 Routine Maintenance Buildings</t>
  </si>
  <si>
    <t>2210302 Accommodation - Domestic Travel-(Sub county Administration)</t>
  </si>
  <si>
    <t>Deputy Governor</t>
  </si>
  <si>
    <t>Hospitality Supplies</t>
  </si>
  <si>
    <t>General office  supplies</t>
  </si>
  <si>
    <t>Accomodation - Domestic Travel</t>
  </si>
  <si>
    <t>2210500 Printing , Advertising and Information Supplies and Services</t>
  </si>
  <si>
    <t>Fuel Oil and Lubricants</t>
  </si>
  <si>
    <t>Communication Sub -Program</t>
  </si>
  <si>
    <t>Communication Equipment</t>
  </si>
  <si>
    <t>Media Pending Bills</t>
  </si>
  <si>
    <t>Motor vehicle maintenance</t>
  </si>
  <si>
    <t xml:space="preserve">GENERAL ADMINISTRATION </t>
  </si>
  <si>
    <t xml:space="preserve">Project Coordination </t>
  </si>
  <si>
    <t>Computer and accessories</t>
  </si>
  <si>
    <t>Supply of small electronic items eg bulbs extensions etc</t>
  </si>
  <si>
    <t>Training Expenses</t>
  </si>
  <si>
    <t>Boards Committees and Conferences</t>
  </si>
  <si>
    <t>2220101 Vehicles maintenance</t>
  </si>
  <si>
    <t>General office  supplies and services</t>
  </si>
  <si>
    <t>2211306 Subscription to professional bodies</t>
  </si>
  <si>
    <t>Media Promotions,Publicity campaigns, Awareness creation</t>
  </si>
  <si>
    <t>Disaster Control and Management</t>
  </si>
  <si>
    <t>2211031 Specialised Materials - Other</t>
  </si>
  <si>
    <t>2220101 Maintenance Expenses - Motor Vehicles</t>
  </si>
  <si>
    <t>2640402 Donations</t>
  </si>
  <si>
    <t>Internal Audit Program</t>
  </si>
  <si>
    <t>2210700 Training Expenses</t>
  </si>
  <si>
    <t>2211200 Fuel Oil and Lubricants</t>
  </si>
  <si>
    <t>Compliance and Enforcement</t>
  </si>
  <si>
    <t>2210300 Domestic Travel and Subsistence, and Other Transportation Costs</t>
  </si>
  <si>
    <t>2211000 Motor vehicles</t>
  </si>
  <si>
    <t>Legal Services / Office of County Attorney</t>
  </si>
  <si>
    <t>Hospitality supplies</t>
  </si>
  <si>
    <t>Fleet Management</t>
  </si>
  <si>
    <t>2211000 Purchase of vehicles</t>
  </si>
  <si>
    <t>HQ Generator Servicing and maintenance</t>
  </si>
  <si>
    <t>2220101 County Garage</t>
  </si>
  <si>
    <t>Vehicle Repair Automation</t>
  </si>
  <si>
    <t>Computer and Accessories</t>
  </si>
  <si>
    <t>DEPARTMENTAL TOTAL</t>
  </si>
  <si>
    <t xml:space="preserve">4027000101 FINANCE  AND ECONOMIC PLANNING </t>
  </si>
  <si>
    <t>FINANCE AND GENERAL ADMINISTRATION</t>
  </si>
  <si>
    <t>Administration and Support 706014010</t>
  </si>
  <si>
    <t>2110100 Basic Salaries - Permanent Employees</t>
  </si>
  <si>
    <t>2210101 Electricity</t>
  </si>
  <si>
    <t>2210201 Telephone, Telex, Facsimile and Mobile Phone Services</t>
  </si>
  <si>
    <t>Consultancy - valuation of assets</t>
  </si>
  <si>
    <t>2210999 Insurance Costs - Other (Budge</t>
  </si>
  <si>
    <t>2211199 Office and General Supplies -</t>
  </si>
  <si>
    <t>2211301 Bank Service Commission and Charges</t>
  </si>
  <si>
    <t>2211308 Legal Dues/fees, Arbitration and Compensation Payments</t>
  </si>
  <si>
    <t>2220200 Routine Maintenance - Other Assets</t>
  </si>
  <si>
    <t>3110502 Water Supplies and Sewerage</t>
  </si>
  <si>
    <t>KDSP</t>
  </si>
  <si>
    <t>Financial Management  and Reporting programme 718024010</t>
  </si>
  <si>
    <t>2211310 Contracted Professional Services</t>
  </si>
  <si>
    <t>2211299 Fuel Oil and Lubricants</t>
  </si>
  <si>
    <t>Internal Audit 718014010</t>
  </si>
  <si>
    <t>Domestic Travel</t>
  </si>
  <si>
    <t>Publishing and Printing</t>
  </si>
  <si>
    <t>Fuel and oils</t>
  </si>
  <si>
    <t>Office Supplies</t>
  </si>
  <si>
    <t>PLANNING AND BUDGET</t>
  </si>
  <si>
    <t>Economic Planning 703034010</t>
  </si>
  <si>
    <t>Vision 2050</t>
  </si>
  <si>
    <t>Office Maintenance</t>
  </si>
  <si>
    <t>Budgeting 705014010</t>
  </si>
  <si>
    <t xml:space="preserve">Public Participation </t>
  </si>
  <si>
    <t>Monitoring and Evaluation 730014010</t>
  </si>
  <si>
    <t>Printing Advertising and Information Supplies</t>
  </si>
  <si>
    <t>Public participation 705034010</t>
  </si>
  <si>
    <t>PROCUREMENT AND REVENUE</t>
  </si>
  <si>
    <t>Revenue And Resource Mobilization 108014010</t>
  </si>
  <si>
    <t>Internet/ Telephone</t>
  </si>
  <si>
    <t>Uniform</t>
  </si>
  <si>
    <t>Motor Vehicle Maintenance</t>
  </si>
  <si>
    <t>Purchase Of Vehicle</t>
  </si>
  <si>
    <t>Office and General Supplies</t>
  </si>
  <si>
    <t>Procurement 101134010</t>
  </si>
  <si>
    <t>Membership Subscritption</t>
  </si>
  <si>
    <t>Advertisements</t>
  </si>
  <si>
    <t>Office Maintenance and Archiving</t>
  </si>
  <si>
    <t>Fuel</t>
  </si>
  <si>
    <t>Domestic Travel - Evaluation</t>
  </si>
  <si>
    <t>Office Furniture</t>
  </si>
  <si>
    <t xml:space="preserve">AGRICULTURE,LIVESTOCK AND FISHERIES </t>
  </si>
  <si>
    <t>GENERAL ADMINISTRATION AND SUPPORT</t>
  </si>
  <si>
    <t>Administration and Support Program</t>
  </si>
  <si>
    <t>Salaries Fisheries</t>
  </si>
  <si>
    <t>Salaries livestock</t>
  </si>
  <si>
    <t>Extension Services</t>
  </si>
  <si>
    <t>Maize Distribution cost</t>
  </si>
  <si>
    <t>Training</t>
  </si>
  <si>
    <t>2211102 Supplies and Accessories for Computers and Printers</t>
  </si>
  <si>
    <t xml:space="preserve">Pending bills </t>
  </si>
  <si>
    <t>2220101 Motor Vehicle Maintenance</t>
  </si>
  <si>
    <t>Agricultural Training Centres Program</t>
  </si>
  <si>
    <t>2210102 Water and sewerage charges</t>
  </si>
  <si>
    <t>2210801 Catering Services (receptions), Accommodation, Gifts, Food and Drinks</t>
  </si>
  <si>
    <t>FOOD SECURITY AND CASHCROP DEVELOPMENT</t>
  </si>
  <si>
    <t>Cash Crop Development Program</t>
  </si>
  <si>
    <t>Food Security Program</t>
  </si>
  <si>
    <t>LIVESTOCK FISHERIES AND VETERINARY SERVICES</t>
  </si>
  <si>
    <t>Livestock and Fisheries Development Program</t>
  </si>
  <si>
    <t>Veterinary Services Program</t>
  </si>
  <si>
    <t>2210504 Advertising, Awareness and Publicity Campaigns</t>
  </si>
  <si>
    <t>2220299 Routine Maintenance - Other As</t>
  </si>
  <si>
    <t>ROADS TRANSPORT AND INFRASTRUCTURE</t>
  </si>
  <si>
    <t>GENERAL ADMINSTRATION AND SUPPORT</t>
  </si>
  <si>
    <t>Road Development programme</t>
  </si>
  <si>
    <t>Salaries Public works</t>
  </si>
  <si>
    <t>2210604 Hire of Transport, Equipment</t>
  </si>
  <si>
    <t>General Office Supplies</t>
  </si>
  <si>
    <t xml:space="preserve">Street Lights Maintenance </t>
  </si>
  <si>
    <t>Printers, Laptops &amp; Professional Software</t>
  </si>
  <si>
    <t>2210606 Hire of Equipment, plant and Machinery</t>
  </si>
  <si>
    <t>Transport</t>
  </si>
  <si>
    <t>Maintenance of Plant Machinery and Equipment</t>
  </si>
  <si>
    <t xml:space="preserve">Fuel Oil and Lubricants - Othe </t>
  </si>
  <si>
    <t xml:space="preserve">Hire of Transport, Equipment </t>
  </si>
  <si>
    <t xml:space="preserve">Hire of Equipment, Plant and Machinery </t>
  </si>
  <si>
    <t>Research, Feasibility Studies</t>
  </si>
  <si>
    <t>Boards, Committees, Conferences and
Seminars</t>
  </si>
  <si>
    <t>COMMUNITY DEVELOPMENT PROGRAMME</t>
  </si>
  <si>
    <t>Infrastructural Development</t>
  </si>
  <si>
    <t xml:space="preserve">Publishing &amp; Printing Services </t>
  </si>
  <si>
    <t xml:space="preserve">Accommodation - Domestic Travel </t>
  </si>
  <si>
    <t>General Office Supplies (papers, pencils, forms, small office equipment
etc)</t>
  </si>
  <si>
    <t>Membership Fees, Dues and Subscriptions to
Professional and Trade Bodies</t>
  </si>
  <si>
    <t xml:space="preserve">Projects Implementation Support </t>
  </si>
  <si>
    <t>ENERGY DEVELOPMENT PROGRAMME</t>
  </si>
  <si>
    <t>Energy Development</t>
  </si>
  <si>
    <t>Fuel and oil</t>
  </si>
  <si>
    <t>Specialized materials/Electrical consumables</t>
  </si>
  <si>
    <t>22111311 Streets lighting</t>
  </si>
  <si>
    <t>MARKETS AND URBAN DEVELOPMENT</t>
  </si>
  <si>
    <t>Market &amp; Urban  Development</t>
  </si>
  <si>
    <t>2220201 Maintenance of Plant, Machinery and Equipment (including lifts)</t>
  </si>
  <si>
    <t>TRADE, INDUSTRY TOURISM AND CO-OPERATIVES</t>
  </si>
  <si>
    <t>General Administration and Support program</t>
  </si>
  <si>
    <t>Purchase of office furnitures</t>
  </si>
  <si>
    <t>2210100 Utilities Supplies and Services</t>
  </si>
  <si>
    <t>Hire of vehicles</t>
  </si>
  <si>
    <t xml:space="preserve">2210102 Water and Sewarage Services </t>
  </si>
  <si>
    <t>2211199 Office and General Supplies - and internet connection</t>
  </si>
  <si>
    <t>Foreign travel</t>
  </si>
  <si>
    <t>2210603 Rents and Rates - Non-Residential</t>
  </si>
  <si>
    <t>3111499 Research, Feasibility Studies</t>
  </si>
  <si>
    <t xml:space="preserve">2210502 Publishing and Printing Services </t>
  </si>
  <si>
    <t>2210302 Accomodation- Domestic and Other Travel</t>
  </si>
  <si>
    <t>Pending bills Office and General Supplies</t>
  </si>
  <si>
    <t>Subscriptions - Fees, Trade fairs &amp; Exhibitions</t>
  </si>
  <si>
    <t>TOURISM DEVELOPMENT</t>
  </si>
  <si>
    <t>Tourism Development Program</t>
  </si>
  <si>
    <t>2210302 Accommodation - Domestic and other Travel</t>
  </si>
  <si>
    <t>Hire of Vehicles</t>
  </si>
  <si>
    <t>Launch of Murang'a County Tourism Association</t>
  </si>
  <si>
    <t>2220101-Maintenance Expenses - Motor Vehicles</t>
  </si>
  <si>
    <t>TRADE DEVELOPMENT</t>
  </si>
  <si>
    <t>Trade  Development</t>
  </si>
  <si>
    <t>2211311 Contracted Technical Services</t>
  </si>
  <si>
    <t>Salaries</t>
  </si>
  <si>
    <t>Hire of transportation of Mangoes/Sorghum/Maize</t>
  </si>
  <si>
    <t>Consultancy - Investment Conference</t>
  </si>
  <si>
    <t xml:space="preserve">Domestic Travel - Sorghum/Mango/Maize </t>
  </si>
  <si>
    <t>Murang'a International Investment and Trade Conference</t>
  </si>
  <si>
    <t>Mobilization of Chinese Light Up Program</t>
  </si>
  <si>
    <t>Consumer Protection and Regulation</t>
  </si>
  <si>
    <t>INDUSTRIALIZATION</t>
  </si>
  <si>
    <t>Industrialization</t>
  </si>
  <si>
    <t>Feasibility Study and EIA for CAIP Master plan, and Del Monte land</t>
  </si>
  <si>
    <t>Motor Vehicle Repairs</t>
  </si>
  <si>
    <t>COOPERATIVE DEVELOPMENT</t>
  </si>
  <si>
    <t>Cooperative Development</t>
  </si>
  <si>
    <t>Operatinalisation of Grains Co-operatives Logistics</t>
  </si>
  <si>
    <t>Publicity and awareness</t>
  </si>
  <si>
    <t>Ushirika Day</t>
  </si>
  <si>
    <t>2220105 Routine Maintenance - Vehicles</t>
  </si>
  <si>
    <t xml:space="preserve">EDUCATION &amp; TECHNICAL TRAINING </t>
  </si>
  <si>
    <t>ADMINISTRATION AND SUPPORT</t>
  </si>
  <si>
    <t>Administration and Support</t>
  </si>
  <si>
    <t>2110199 Basic Salaries - Permanent - Others</t>
  </si>
  <si>
    <t>Salaries permanent</t>
  </si>
  <si>
    <t>Casual employees salaries - hiring vocational trainers</t>
  </si>
  <si>
    <t>Vocational Trainers Wages Arrears</t>
  </si>
  <si>
    <t>Pending bills</t>
  </si>
  <si>
    <t>Fuel Oil and lubricants</t>
  </si>
  <si>
    <t>EDUCATION INTERVENTION</t>
  </si>
  <si>
    <t>Early childhood Development</t>
  </si>
  <si>
    <t xml:space="preserve"> Internship</t>
  </si>
  <si>
    <t>2211031 Teaching/Learning materials</t>
  </si>
  <si>
    <t>Monitoring and Evaluation</t>
  </si>
  <si>
    <t>Feeding programme-Porridge</t>
  </si>
  <si>
    <t>New Hires</t>
  </si>
  <si>
    <t>Co-curicular Activities</t>
  </si>
  <si>
    <t>Digital Learning/Tayari Program</t>
  </si>
  <si>
    <t>Education Interventions</t>
  </si>
  <si>
    <t>Schorlarship Programme</t>
  </si>
  <si>
    <t>Motor vehicle repairs</t>
  </si>
  <si>
    <t>Education tour</t>
  </si>
  <si>
    <t>Event management( Inua Masomo)</t>
  </si>
  <si>
    <t>TECHNICAL AND VOCATIONAL TRAINING</t>
  </si>
  <si>
    <t>Youth Polytechnics &amp; Vocational training</t>
  </si>
  <si>
    <t>Instruction Materials</t>
  </si>
  <si>
    <t>Polytechnic capitation</t>
  </si>
  <si>
    <t>Talent Development</t>
  </si>
  <si>
    <t>Training/ capacity buildings</t>
  </si>
  <si>
    <t>Accomodation and Domestic travel</t>
  </si>
  <si>
    <t>Publishing and printing services</t>
  </si>
  <si>
    <t xml:space="preserve">HEALTH AND SANITATION </t>
  </si>
  <si>
    <t>Health administration planning and support programme</t>
  </si>
  <si>
    <t>Community Health Volunteers County Contribution</t>
  </si>
  <si>
    <t>Community Health Volunteers grants</t>
  </si>
  <si>
    <t>2110100 Basic Salaries - Health Workers arrears grant</t>
  </si>
  <si>
    <t>Appropriation In Aid</t>
  </si>
  <si>
    <t>Nurses Arrears</t>
  </si>
  <si>
    <t>Last Expense Cover - Kangata care</t>
  </si>
  <si>
    <t>2211015 Food and Rations(All health facilities)</t>
  </si>
  <si>
    <t>2211103 Sanitary and Cleaning Materials, Supplies and Services</t>
  </si>
  <si>
    <t>Planning budgeting and ME</t>
  </si>
  <si>
    <t>Maintenance of Plant and Equipment</t>
  </si>
  <si>
    <t>2220205 Maintenance of Buildings and Stations - Non-Residential</t>
  </si>
  <si>
    <t>Medical Oxygen and other Gases</t>
  </si>
  <si>
    <t>2630101 Danida</t>
  </si>
  <si>
    <t>2630101 Danida b/f from 2022-2023</t>
  </si>
  <si>
    <t>2630101 Danida Matching fund</t>
  </si>
  <si>
    <t>Ressearch and Feasibility studies</t>
  </si>
  <si>
    <t>Underage -support (consumables)</t>
  </si>
  <si>
    <t>Alcohol Programme</t>
  </si>
  <si>
    <t>Rent</t>
  </si>
  <si>
    <t>Curative Health Programme</t>
  </si>
  <si>
    <t>2210899 Food rations</t>
  </si>
  <si>
    <t>Universal Health Cover</t>
  </si>
  <si>
    <t>2211001 Medical Drugs</t>
  </si>
  <si>
    <t>2211002 Dressings and Other Non-Pharmaceutical Medical Items</t>
  </si>
  <si>
    <t>Lab Reagents</t>
  </si>
  <si>
    <t>Pending Bills</t>
  </si>
  <si>
    <t>2211101- General Office Supplies (papers, pencils, forms, small office equipment etc)-Exchequer ( GOK )</t>
  </si>
  <si>
    <t>Purchase of Vector Control Chemicals</t>
  </si>
  <si>
    <t xml:space="preserve">4019000101 Lands, Housing &amp; Physical Planning </t>
  </si>
  <si>
    <t>2211308 Legal fees-Succession</t>
  </si>
  <si>
    <t>2210202 Internet Connections</t>
  </si>
  <si>
    <t>2210799 Training Expenses - Subscriptions and CPD</t>
  </si>
  <si>
    <t>KUSP-UIG</t>
  </si>
  <si>
    <t>2210202 Water and Sewerage</t>
  </si>
  <si>
    <t>Land Allocation and Leasing Committee</t>
  </si>
  <si>
    <t>Maintenance of vehicles</t>
  </si>
  <si>
    <t>Hire of Motor Vehicle</t>
  </si>
  <si>
    <t xml:space="preserve">Urban Development </t>
  </si>
  <si>
    <t>Acquisition of Kenol Bus Park</t>
  </si>
  <si>
    <t>Land Leasing Committee</t>
  </si>
  <si>
    <t>Boards and Committees</t>
  </si>
  <si>
    <t>PHYSICAL PLANNING AND SURVEY</t>
  </si>
  <si>
    <t>Digitization of Lands 103034010</t>
  </si>
  <si>
    <t>Physical Planning 103024010</t>
  </si>
  <si>
    <t>Valuation roll field allowances</t>
  </si>
  <si>
    <t>Publishing and Printing Services</t>
  </si>
  <si>
    <t>Field Allowance</t>
  </si>
  <si>
    <t>Land Survey 103044010</t>
  </si>
  <si>
    <t>Land Administration and Valuation 101054010</t>
  </si>
  <si>
    <t>COUNTY PUBLIC SERVICE BOARD</t>
  </si>
  <si>
    <t>General Administration and support</t>
  </si>
  <si>
    <t xml:space="preserve">2110100 Basic Salaries - Permanent Employees </t>
  </si>
  <si>
    <t>2110200 Basic Wages - Temporary Employees</t>
  </si>
  <si>
    <t>Mortgage</t>
  </si>
  <si>
    <t xml:space="preserve">2210302 Accommodation - Domestic Travel </t>
  </si>
  <si>
    <t xml:space="preserve"> 2210802 Boards, Committees, Conferences and Seminars </t>
  </si>
  <si>
    <t xml:space="preserve">2210801 Catering Services (receptions), Accommodation, Gifts, Food and Drinks </t>
  </si>
  <si>
    <t>Office maintainance</t>
  </si>
  <si>
    <t xml:space="preserve"> National Value and Governance </t>
  </si>
  <si>
    <t>3110799 Purchase of M/Vehicle</t>
  </si>
  <si>
    <t>2211299 Fuel Oil and Lubricants - Other</t>
  </si>
  <si>
    <t>Motor Vehicle Repairs/maintenance</t>
  </si>
  <si>
    <t xml:space="preserve">2210802 Boards, Committees, Conferences and Seminars </t>
  </si>
  <si>
    <t>YOUTH,CULTURE, GENDER,SOCIAL SERVICES  &amp; SPECIAL PROGRAMS</t>
  </si>
  <si>
    <t xml:space="preserve">4022000201 Youth,Culture, Gender,Social Services  &amp; Special Programs </t>
  </si>
  <si>
    <t>Office furniture</t>
  </si>
  <si>
    <t>pending bills</t>
  </si>
  <si>
    <t>Culture Development programme</t>
  </si>
  <si>
    <t xml:space="preserve"> Gikuyu Music Festival</t>
  </si>
  <si>
    <t>Library Services</t>
  </si>
  <si>
    <t>Purchase of general office and stationeries</t>
  </si>
  <si>
    <t>Purchase of books - County Libraries</t>
  </si>
  <si>
    <t>Utility bills</t>
  </si>
  <si>
    <t>Social Development programme</t>
  </si>
  <si>
    <t>Food Rations - Children Homes</t>
  </si>
  <si>
    <t>Sport Development programme 903034010</t>
  </si>
  <si>
    <t xml:space="preserve">Youth Empowerment Programme </t>
  </si>
  <si>
    <t>General Administration and Planning</t>
  </si>
  <si>
    <t>Salary and wages</t>
  </si>
  <si>
    <t>Salaries Water dept/Irrigation</t>
  </si>
  <si>
    <t xml:space="preserve">Environmental Conservation Program </t>
  </si>
  <si>
    <t>Fuel and lubricants</t>
  </si>
  <si>
    <t>Domestic travel</t>
  </si>
  <si>
    <t>Publicity</t>
  </si>
  <si>
    <t>Climate change Unit - FLLOCA</t>
  </si>
  <si>
    <t>Environmental policies</t>
  </si>
  <si>
    <t>Environment days commemoration</t>
  </si>
  <si>
    <t>FLLOCA Grants</t>
  </si>
  <si>
    <t xml:space="preserve">Environmental  Administration and Support </t>
  </si>
  <si>
    <t>Travel and accommodation</t>
  </si>
  <si>
    <t>Hospitality</t>
  </si>
  <si>
    <t>Office stationeries</t>
  </si>
  <si>
    <t>Vehicle maintenance</t>
  </si>
  <si>
    <t>Purchase of detergents</t>
  </si>
  <si>
    <t>Maintenance of equipment’s</t>
  </si>
  <si>
    <t>Office equipment</t>
  </si>
  <si>
    <t>Pending bills - waste collection</t>
  </si>
  <si>
    <t>Waste Management Program</t>
  </si>
  <si>
    <t>Garbage Loading Logistics</t>
  </si>
  <si>
    <t>2110100 Salaries - Permanent Employees</t>
  </si>
  <si>
    <t>Casual wages</t>
  </si>
  <si>
    <t>Consumables</t>
  </si>
  <si>
    <t>Vehicle Maintenance</t>
  </si>
  <si>
    <t>Irrigation</t>
  </si>
  <si>
    <t>Water development programme</t>
  </si>
  <si>
    <t>2220205 Maintenance of Buildings and Stations -- Non-Residential</t>
  </si>
  <si>
    <t xml:space="preserve">2220201 Maintenance of Plant, Machinery and Equipment </t>
  </si>
  <si>
    <t xml:space="preserve">2110199 Basic Salaries </t>
  </si>
  <si>
    <t>Salary Arrears</t>
  </si>
  <si>
    <t>Intenship programme</t>
  </si>
  <si>
    <t>Provision for new staffs</t>
  </si>
  <si>
    <t>2420499 Other Creditors - Salaries Arrears</t>
  </si>
  <si>
    <t>Pension Current FY 2025-26</t>
  </si>
  <si>
    <t>Pension and Statutory Arrears</t>
  </si>
  <si>
    <t>Housing levy -Employer</t>
  </si>
  <si>
    <t>NSSF- Employer</t>
  </si>
  <si>
    <t>Other entitlements and allowances ie Transfer,Benevolent,Benevolent,Baggage, NSSF,Medallion</t>
  </si>
  <si>
    <t>2110314 Sitting and transfer</t>
  </si>
  <si>
    <t>Gratuity</t>
  </si>
  <si>
    <t>Gratuity arrears</t>
  </si>
  <si>
    <t>2210910 Medical Insurance (WIBA)</t>
  </si>
  <si>
    <t>Last Expense Cover - Employees</t>
  </si>
  <si>
    <t xml:space="preserve"> Pending bill(KSG and Insurances)</t>
  </si>
  <si>
    <t xml:space="preserve">  2210910 Medical Insurance Cover</t>
  </si>
  <si>
    <t>2210910 Medical Insurance - Employee Medical Scheme</t>
  </si>
  <si>
    <t xml:space="preserve"> 2210300 Domestic Travel and Subsistence, and Other Transportation Costs </t>
  </si>
  <si>
    <t xml:space="preserve">2210799 Training Expenses </t>
  </si>
  <si>
    <t>HR Consultancies</t>
  </si>
  <si>
    <t xml:space="preserve"> 2220299 Routine Maintenance - Other As </t>
  </si>
  <si>
    <t xml:space="preserve"> 2211101 General Office Supplies (papers, pencils, forms, small office equipment </t>
  </si>
  <si>
    <t>Printing and stationery</t>
  </si>
  <si>
    <t>2810101 Fuel and Oil</t>
  </si>
  <si>
    <t>Performance Management</t>
  </si>
  <si>
    <t xml:space="preserve">Hospitality Supplies - other </t>
  </si>
  <si>
    <t>Subscription to Professional Bodies</t>
  </si>
  <si>
    <t>Records Management</t>
  </si>
  <si>
    <t>Employees Benevolent Fund</t>
  </si>
  <si>
    <t>Office Tools and Equipment</t>
  </si>
  <si>
    <t>Retirees party</t>
  </si>
  <si>
    <t>Human Resource Policies</t>
  </si>
  <si>
    <t>Staff Identification Tags</t>
  </si>
  <si>
    <t>299015 Christmas Holiday Gifts</t>
  </si>
  <si>
    <t>Sevice Charter</t>
  </si>
  <si>
    <t>ICT and E-Government</t>
  </si>
  <si>
    <t>ICT Support allowances- HMIS, Revenue, Lands Mngt system, Gis etc</t>
  </si>
  <si>
    <t>Vehicle Repairs</t>
  </si>
  <si>
    <t>Cyber security – System Testing</t>
  </si>
  <si>
    <t>Acquisition of server and refurbishment of server room</t>
  </si>
  <si>
    <t>Training and capacity Building</t>
  </si>
  <si>
    <t>Domestic Travel and Accomodation</t>
  </si>
  <si>
    <t>Cloud services- Emails, website, other sub domains</t>
  </si>
  <si>
    <t>Systems support, Repairs and maintenance</t>
  </si>
  <si>
    <t>Bulk SMS Credits – For all County systems</t>
  </si>
  <si>
    <t>Printer or facsimile toners</t>
  </si>
  <si>
    <t>Antivirus Software/operating system/application software</t>
  </si>
  <si>
    <t>Travel Costs (airlines, bus, railway, mileage allowances, etc.)</t>
  </si>
  <si>
    <t>Off-site backups for the online systems.</t>
  </si>
  <si>
    <t>County staff training in ICT policy.</t>
  </si>
  <si>
    <t>Gadgets for ICT support staff.</t>
  </si>
  <si>
    <t>HQ and Subcounty offices internet.</t>
  </si>
  <si>
    <t>County network repairs</t>
  </si>
  <si>
    <t>Acquisition of a container (Partitioned for e-waste and repair workshop)</t>
  </si>
  <si>
    <t>4026000101 Muranga Municipality</t>
  </si>
  <si>
    <t>Basic Salaries - Permanent Employees lands</t>
  </si>
  <si>
    <t xml:space="preserve"> Accommodation - Domestic Travel</t>
  </si>
  <si>
    <t>Boards, Committees, Conferences and Seminars</t>
  </si>
  <si>
    <t>KUSP - UIG</t>
  </si>
  <si>
    <t>Advertising Awareness and Publicity</t>
  </si>
  <si>
    <t xml:space="preserve"> General Office Supplies (papers, pencils, forms, small office equipment</t>
  </si>
  <si>
    <t xml:space="preserve"> Office and General Supplies -</t>
  </si>
  <si>
    <t xml:space="preserve"> Fuel Oil and Lubricants - Others</t>
  </si>
  <si>
    <t>Urban Management 102074010</t>
  </si>
  <si>
    <t>2 Municipalities Induction</t>
  </si>
  <si>
    <t>Pending Bills Waste Collection</t>
  </si>
  <si>
    <t>Maintenance of Motor Vehicles</t>
  </si>
  <si>
    <t>Training and Capacity building</t>
  </si>
  <si>
    <t>Solid Waste Management 102044010</t>
  </si>
  <si>
    <t>Public Health Services 402034010</t>
  </si>
  <si>
    <t>Water and Food Quality Control Services</t>
  </si>
  <si>
    <t>Village and Urban Sanitation &amp; Hygiene</t>
  </si>
  <si>
    <t>Fumigation Pest and Jigger Control</t>
  </si>
  <si>
    <t>KENOL MUNICIPALITY</t>
  </si>
  <si>
    <t>4032000101 Kenol Municipality</t>
  </si>
  <si>
    <t>Administration, Planning and Support 706014010</t>
  </si>
  <si>
    <t xml:space="preserve">Basic Salaries </t>
  </si>
  <si>
    <t>Water and Sewerage</t>
  </si>
  <si>
    <t>Domestic and Subsistence Travel</t>
  </si>
  <si>
    <t>Urban Development 102074010</t>
  </si>
  <si>
    <t>Subscriptions,Training and Capacity building</t>
  </si>
  <si>
    <t xml:space="preserve"> Domestic Travel - Inspections</t>
  </si>
  <si>
    <t>Solid Waste Management 1002044010</t>
  </si>
  <si>
    <t>Urban Sanitation &amp; Hygiene and cleansing items</t>
  </si>
  <si>
    <t>Fumigation/land fill pest control</t>
  </si>
  <si>
    <t>Total</t>
  </si>
  <si>
    <t>KANGARI MUNICIPALITY</t>
  </si>
  <si>
    <t>4031000101 Kangari Municipality</t>
  </si>
  <si>
    <t>General Administration and Planning 706014010</t>
  </si>
  <si>
    <t>General Office Supplies (papers, pencils, forms, small office equipment etc)</t>
  </si>
  <si>
    <t>4030000101 Devolution and External Linkages</t>
  </si>
  <si>
    <t>KDSP-Matching fund</t>
  </si>
  <si>
    <t>Fuel and Oil</t>
  </si>
  <si>
    <t>Devolution Conference</t>
  </si>
  <si>
    <t>Routine maintenance</t>
  </si>
  <si>
    <t>DEVELOPMENT BUDGET ESTIMATES</t>
  </si>
  <si>
    <t>FY 2025-2026</t>
  </si>
  <si>
    <t>FY2026-2027</t>
  </si>
  <si>
    <t>FY2027-2028</t>
  </si>
  <si>
    <t>D-01</t>
  </si>
  <si>
    <t>D-02</t>
  </si>
  <si>
    <t>D-03</t>
  </si>
  <si>
    <t>D-04</t>
  </si>
  <si>
    <t>D-05</t>
  </si>
  <si>
    <t>D-10</t>
  </si>
  <si>
    <t>D-07</t>
  </si>
  <si>
    <t>D-08</t>
  </si>
  <si>
    <t>D-13</t>
  </si>
  <si>
    <t>D-11</t>
  </si>
  <si>
    <t>D-12</t>
  </si>
  <si>
    <t>D-09</t>
  </si>
  <si>
    <t>D-14</t>
  </si>
  <si>
    <t>D-15</t>
  </si>
  <si>
    <t>D-16</t>
  </si>
  <si>
    <t>D-17</t>
  </si>
  <si>
    <t>GRAND TOTAL</t>
  </si>
  <si>
    <t xml:space="preserve">GOVERNORSHIP AND COUNTY COORDINATION </t>
  </si>
  <si>
    <t>GENERAL ADMINISRATION</t>
  </si>
  <si>
    <t xml:space="preserve">Administration, Planning And Support </t>
  </si>
  <si>
    <t>Fire Station and Hydrants</t>
  </si>
  <si>
    <t>Automation</t>
  </si>
  <si>
    <t>Sub-County offices renovation</t>
  </si>
  <si>
    <t>COUNTY ASSEMBLY</t>
  </si>
  <si>
    <t>FINANCE  AND ECONOMIC PLANNING</t>
  </si>
  <si>
    <t>Emergency Fund</t>
  </si>
  <si>
    <t>Document store</t>
  </si>
  <si>
    <t>Development of Vision 2050</t>
  </si>
  <si>
    <t>Solarisation</t>
  </si>
  <si>
    <t xml:space="preserve"> AGRICULTURE LIVESTOCK FISHERIES</t>
  </si>
  <si>
    <t>SUBSIDY PROGRAMME</t>
  </si>
  <si>
    <t>Subsidy Programme</t>
  </si>
  <si>
    <t>Agricultural Subsidy- Mangoes and Milk</t>
  </si>
  <si>
    <t>ASDSP-National government Refund</t>
  </si>
  <si>
    <t>ADMINSTRATION AND SUPPORT</t>
  </si>
  <si>
    <t>Kenya Agricultural Business Development (KABDP) - Counterpart Funding</t>
  </si>
  <si>
    <t>Kenya Agricultural Business Development (KABDP) - Grant</t>
  </si>
  <si>
    <t>Agriculture Sector Development Support Counter Funding</t>
  </si>
  <si>
    <t>Agriculture Sector Development Support Grant (ASDSP)2017-2022 b/f</t>
  </si>
  <si>
    <t>Agriculture Sector  Development Support Grant (ASDSP)</t>
  </si>
  <si>
    <t>NARIGP GRANT (National Agriculture And Rural Inclusive Growth)</t>
  </si>
  <si>
    <t>NARIG Counter Funding</t>
  </si>
  <si>
    <t>NAVCDP Counter Funding</t>
  </si>
  <si>
    <t>NAVCDP</t>
  </si>
  <si>
    <t xml:space="preserve">Pending Bills </t>
  </si>
  <si>
    <t>FOOD SECURITY AND CASH CROP DEVELOPMENT</t>
  </si>
  <si>
    <t>Pests and Chlorocebus Pygerythrus Control</t>
  </si>
  <si>
    <t>Food Security</t>
  </si>
  <si>
    <t>Seeds and Farm inputs</t>
  </si>
  <si>
    <t>Cash Crop Development</t>
  </si>
  <si>
    <t>Avocado Upgrading</t>
  </si>
  <si>
    <t>Horticulture Support</t>
  </si>
  <si>
    <t>Fisheries</t>
  </si>
  <si>
    <t>Rehabilitation and development of ponds</t>
  </si>
  <si>
    <t>Fisheries Program</t>
  </si>
  <si>
    <t>IT systems</t>
  </si>
  <si>
    <t>Livestock and Veterinary</t>
  </si>
  <si>
    <t xml:space="preserve">Livestock Value Chain Support Programme </t>
  </si>
  <si>
    <t>Livestock Value Chain Support Programme</t>
  </si>
  <si>
    <t>Vaccination program</t>
  </si>
  <si>
    <t>A.I program</t>
  </si>
  <si>
    <t>ROADS AND INFRASTRUCTURE DEPARTMENT</t>
  </si>
  <si>
    <t>Smart Cities Programme</t>
  </si>
  <si>
    <t>Refurbishment Of County Headquarters</t>
  </si>
  <si>
    <t>Maintenance of Urban Areas</t>
  </si>
  <si>
    <t>Infrastracture Community Development</t>
  </si>
  <si>
    <t xml:space="preserve">Community Projects </t>
  </si>
  <si>
    <t>ROAD DEVELOPMENT PROGRAMME</t>
  </si>
  <si>
    <t>Roads Development</t>
  </si>
  <si>
    <t xml:space="preserve"> Maintenance of machinery and  Equipments</t>
  </si>
  <si>
    <t>Road Maintenance Levy Fund</t>
  </si>
  <si>
    <t>Gravelling and  grading</t>
  </si>
  <si>
    <t>ENERGY DEVELOPMENT</t>
  </si>
  <si>
    <t xml:space="preserve">Energy </t>
  </si>
  <si>
    <t>Street lighting and Floodlights</t>
  </si>
  <si>
    <t>Solarization</t>
  </si>
  <si>
    <t>TRADE,INDUSTRY, COOPERATIVES AND TOURISM</t>
  </si>
  <si>
    <t>Trade, Industry and Investment</t>
  </si>
  <si>
    <t>Development of Policies</t>
  </si>
  <si>
    <t>Market Development and upgrade</t>
  </si>
  <si>
    <t>Industrial Development</t>
  </si>
  <si>
    <t xml:space="preserve"> Special Economic Zones Development</t>
  </si>
  <si>
    <t>Investment conference  Planning</t>
  </si>
  <si>
    <t>Establishment of Special Economic Zones/EP - (CAIPS)</t>
  </si>
  <si>
    <t>Aggregated Industrial Park-Grant</t>
  </si>
  <si>
    <t>Trade Shows ,Exhibition and Investments</t>
  </si>
  <si>
    <t>Tourism Development</t>
  </si>
  <si>
    <t>Tourism mapping and support</t>
  </si>
  <si>
    <t>Tourism marketing Promotion and product development</t>
  </si>
  <si>
    <t>Cooperatives Development</t>
  </si>
  <si>
    <t xml:space="preserve">Co-operative Societies </t>
  </si>
  <si>
    <t>Grain Farmers Co-operatives</t>
  </si>
  <si>
    <t>Development of MCCCU</t>
  </si>
  <si>
    <t>Coffee Factories upgrade</t>
  </si>
  <si>
    <t>Purchase of  Hybrid seed - Grains</t>
  </si>
  <si>
    <t>EDUCATION AND TECHNICAL TRAINING</t>
  </si>
  <si>
    <t>EARLY CHILDHOOD DEVELOPMENT</t>
  </si>
  <si>
    <t>Early Childhood Development</t>
  </si>
  <si>
    <t>0501034010 SP3 Early Child Development and Education</t>
  </si>
  <si>
    <t>ECDE Furniture</t>
  </si>
  <si>
    <t>Infrastructural Work</t>
  </si>
  <si>
    <t>Toilets</t>
  </si>
  <si>
    <t>Youth Polytechnics And Vocational Training</t>
  </si>
  <si>
    <t>Infrastructure Development-Civil Works (construction and renovations of workshops &amp; Toilets)</t>
  </si>
  <si>
    <t>VTCS Furniture</t>
  </si>
  <si>
    <t>Tools and Equipment</t>
  </si>
  <si>
    <t xml:space="preserve"> HEALTH AND SANITATION</t>
  </si>
  <si>
    <t>CURATIVE HEALTH PROGRAMME</t>
  </si>
  <si>
    <t>Leasing of Medical Equipments</t>
  </si>
  <si>
    <t>Ambulances</t>
  </si>
  <si>
    <t xml:space="preserve">Medical Equipments </t>
  </si>
  <si>
    <t>Medical Equipments for dispensaries</t>
  </si>
  <si>
    <t>PREVENTIVE AND PROMOTIVE HEALTH PROGRAMME</t>
  </si>
  <si>
    <t>Preventive And Promotive Health Services</t>
  </si>
  <si>
    <t>Maternal  Health  and Infant Support</t>
  </si>
  <si>
    <t>SP3.1 Community Health services</t>
  </si>
  <si>
    <t>Primary Healthcare networks</t>
  </si>
  <si>
    <t>Community Health Outreach Program</t>
  </si>
  <si>
    <t>Health Products and Technology</t>
  </si>
  <si>
    <t>Occupational therapy</t>
  </si>
  <si>
    <t>K-WASH</t>
  </si>
  <si>
    <t>Nutrition International</t>
  </si>
  <si>
    <t>Nutrition International (grant)</t>
  </si>
  <si>
    <t>Nutrition International  b/f from 2022-2023</t>
  </si>
  <si>
    <t>Nutrition International (Counterpart funding)</t>
  </si>
  <si>
    <t>Reproductive Health Services</t>
  </si>
  <si>
    <t>Reproductive Health</t>
  </si>
  <si>
    <t>Infrastructure Development</t>
  </si>
  <si>
    <t>Development of Hospital Infrastracture</t>
  </si>
  <si>
    <t>IT systems/ Internet infrastructure</t>
  </si>
  <si>
    <t xml:space="preserve">Wards Fittings </t>
  </si>
  <si>
    <t>SP5.1 Development and improvement of health facilities</t>
  </si>
  <si>
    <t>Proposed Construction Of Mortuary At Kirwara Hospital - Murang'a County</t>
  </si>
  <si>
    <t>Proposed Construction Of Ward &amp; Theatre Block Phase 1, Ablution Block Renovation Works To Various Structures And External Works At Swani Health Centre In Kakuzi/ Mitumbiri Ward In Murang’a County</t>
  </si>
  <si>
    <t>Proposed Completion Works to Create wards at the New IPD Block, Kandara Hospital phase 1</t>
  </si>
  <si>
    <t xml:space="preserve">Proposed construction of casualty and wards at Murang'a Level 5 Hospital </t>
  </si>
  <si>
    <t>Proposed Construction of Ward Block at Nyakianga Level 4 Hospital Mathioya Sub-County</t>
  </si>
  <si>
    <t xml:space="preserve">Proposed Construction of Kenol Level 5 Hospital </t>
  </si>
  <si>
    <t>Maintainance of Hospitals</t>
  </si>
  <si>
    <t>Telemedicines Booths and ICT workshops Muriranjas</t>
  </si>
  <si>
    <t>Construction of oxygen distribution plant and installation works</t>
  </si>
  <si>
    <t xml:space="preserve">Completion of Kirwara Hospital </t>
  </si>
  <si>
    <t>Maragua Hospital Fencing and cabro paving works</t>
  </si>
  <si>
    <t>Completion of labolatories at Kamacharia and Rau Dispesaries</t>
  </si>
  <si>
    <t xml:space="preserve"> Supply of Medical Equipments </t>
  </si>
  <si>
    <t>Proposed Construction of kiawambeu dispensary</t>
  </si>
  <si>
    <t>IT Systems</t>
  </si>
  <si>
    <t>Underage Pregnancy support</t>
  </si>
  <si>
    <t>LAND PHYSICAL PLANNING AND URBAN DEVELOPMENT</t>
  </si>
  <si>
    <t>Physical Planning</t>
  </si>
  <si>
    <t>Physical Planning and Survey</t>
  </si>
  <si>
    <t>0103014010 Valuation roll</t>
  </si>
  <si>
    <t>Site Visit Vehicle</t>
  </si>
  <si>
    <t>Urban Development</t>
  </si>
  <si>
    <t>Land purchase- buspark</t>
  </si>
  <si>
    <t>Land Survey</t>
  </si>
  <si>
    <t>Survey Services</t>
  </si>
  <si>
    <t>GIS</t>
  </si>
  <si>
    <t>1112100600 Digitization of Land</t>
  </si>
  <si>
    <t>SPORTS,YOUTH, CULTURE,GENDER AND SOCIAL SERVICES</t>
  </si>
  <si>
    <t>CULTURE DEVELOPMENT PROGRAMME</t>
  </si>
  <si>
    <t xml:space="preserve">Culture </t>
  </si>
  <si>
    <t>Culture Development Mukurwe</t>
  </si>
  <si>
    <t>SOCIAL DEVELOPMENT PROGRAMME</t>
  </si>
  <si>
    <t xml:space="preserve"> Persons Living With Disabilities </t>
  </si>
  <si>
    <t>0902024010 SP2 Persons living with disabilities</t>
  </si>
  <si>
    <t xml:space="preserve"> Gender </t>
  </si>
  <si>
    <t>Gender Empowerment</t>
  </si>
  <si>
    <t xml:space="preserve"> Social Service </t>
  </si>
  <si>
    <t>Social Development Support</t>
  </si>
  <si>
    <t>SPORTS DEVELOPMENT PROGRAMME</t>
  </si>
  <si>
    <t>Community Sports and Talents</t>
  </si>
  <si>
    <t xml:space="preserve"> Sports </t>
  </si>
  <si>
    <t>Sport development Mumbi Stadium and goal posts in wards play fields</t>
  </si>
  <si>
    <t>YOUTH DEVELOPMENT PROGRAMME</t>
  </si>
  <si>
    <t xml:space="preserve"> Youth  </t>
  </si>
  <si>
    <t xml:space="preserve">Muranga Youth  service-Youth Empowernment </t>
  </si>
  <si>
    <t>Boda Boda Empowerment</t>
  </si>
  <si>
    <t>ENVIRONMENT WATER AND IRRIGATION</t>
  </si>
  <si>
    <t>Waste Management</t>
  </si>
  <si>
    <t>Waste Management Tools</t>
  </si>
  <si>
    <t>CLIMATE CHANGE PROGRAMME</t>
  </si>
  <si>
    <t>Garbage/waste collection equipment purchase/Hiring (Bins)</t>
  </si>
  <si>
    <t>Purchase of Skip Loader</t>
  </si>
  <si>
    <t>Karii Dumpsite</t>
  </si>
  <si>
    <t>Solarization of Mitubiri Landfill</t>
  </si>
  <si>
    <t>Tree Planting</t>
  </si>
  <si>
    <t>waste collection vehicles</t>
  </si>
  <si>
    <t>FLLoCA</t>
  </si>
  <si>
    <t>Climate Change Counterfunding</t>
  </si>
  <si>
    <t>FLLoCA Level Two Grant</t>
  </si>
  <si>
    <t>FLLoCA (Carried Forward)</t>
  </si>
  <si>
    <t>Funding for Locally Led Climate Action (FLLoCA)</t>
  </si>
  <si>
    <t>Climate resilient projects</t>
  </si>
  <si>
    <t>Borehole Drilling and Equipng Programme</t>
  </si>
  <si>
    <t>Drilling and Equipping of  Boreholes</t>
  </si>
  <si>
    <t>BoreHole Rehabilitation Programme</t>
  </si>
  <si>
    <t>Rehabilitation of boreholes</t>
  </si>
  <si>
    <t>Conducting Environmental and Social impact assessments for borehole projects, water tanks projects and last mile water projects  in 5 WSP areas developed by Murang’a County government</t>
  </si>
  <si>
    <t>ECD Water Tanks Programme</t>
  </si>
  <si>
    <t>ECDE Water Tanks</t>
  </si>
  <si>
    <t>Irrigation Development</t>
  </si>
  <si>
    <t>Impact Assessment for Mariira Dam and associated works</t>
  </si>
  <si>
    <t xml:space="preserve"> Irrigation Project</t>
  </si>
  <si>
    <t>PUBLIC SERVICE ADMINISTRATION AND ICT</t>
  </si>
  <si>
    <t>ICT DEVELOPMENT PROGRAMME</t>
  </si>
  <si>
    <t>ICT Development Programme</t>
  </si>
  <si>
    <t>call centre</t>
  </si>
  <si>
    <t>Connectivity for Headquarters and devolved units (WAN/LAN)</t>
  </si>
  <si>
    <t>Acquisition of ICT Equipment</t>
  </si>
  <si>
    <t>Internet infrastructure</t>
  </si>
  <si>
    <t>County Information Services</t>
  </si>
  <si>
    <t>MURANG'A MUNICIPALITY</t>
  </si>
  <si>
    <t>Public Works and Infrastructue development</t>
  </si>
  <si>
    <t xml:space="preserve">Infastructure improvement </t>
  </si>
  <si>
    <t>Cabro-paving of Maragua town</t>
  </si>
  <si>
    <t>Renovation of Murang'a roundabout monument</t>
  </si>
  <si>
    <t>Rehabilitation of Murang'a Social Hall</t>
  </si>
  <si>
    <t>Rehabilitation of town cabro and drainage system</t>
  </si>
  <si>
    <t>Rehabilitation/Partitioning of Murang'a Municipality Office Block</t>
  </si>
  <si>
    <t>UDG_Cabro-paving along C71 (Alpha Petrol Station - Total Jct - Murang'a Town)</t>
  </si>
  <si>
    <t>UDG-Cabro Paving of Full Gospel - Sports Club Slip Road</t>
  </si>
  <si>
    <t>UDG-Cabro Paving of Vidhu Ramji - Juvenile  - Kimwere Road</t>
  </si>
  <si>
    <t>UDG-Cabro Paving of ACK Church - Murang'a Level V</t>
  </si>
  <si>
    <t>UDG-Cabro Paving Total Petrol Station to Deliverance Church</t>
  </si>
  <si>
    <t>Urban Development Grant</t>
  </si>
  <si>
    <t>Adminstration and Support</t>
  </si>
  <si>
    <t>Infrastructure Improvement</t>
  </si>
  <si>
    <t xml:space="preserve">Upgrading of Sky One - Glory Petrol Station Road to cabro standards </t>
  </si>
  <si>
    <t>Construction of Kenol Municipality Offices</t>
  </si>
  <si>
    <t>UDG -Cabro-paving of KWFT - Posta Area</t>
  </si>
  <si>
    <t xml:space="preserve">UDG-Cabro-paving of Milele Mall - Golden Palm along C71 </t>
  </si>
  <si>
    <t xml:space="preserve">UDG-Upgrading of A2 - Jct c17 to cabro-standards </t>
  </si>
  <si>
    <t>UDG- Upgrade to Cabro Standards of Jerusalem Road (Chief's camp - Proto) Gas</t>
  </si>
  <si>
    <t>UDG-Streelighting within Kenol Town</t>
  </si>
  <si>
    <t>Cabro-paving of Kangari Town and Drainage system rehabilitation</t>
  </si>
  <si>
    <t>Infrastructral works of Kangari Municipality Office Block ie. Perimeter Wall, cabro paving parking,septic tank,water tank</t>
  </si>
  <si>
    <t>DEVOLUTION AND EXTERNAL LINKAGES</t>
  </si>
  <si>
    <t>KDSP LEVEL 2 FUNDING</t>
  </si>
  <si>
    <t xml:space="preserve">   </t>
  </si>
  <si>
    <t>Development Budget</t>
  </si>
  <si>
    <t>Recurrent Budget</t>
  </si>
  <si>
    <t>Total Budget</t>
  </si>
  <si>
    <t>Total Revenue</t>
  </si>
  <si>
    <t>Deficit</t>
  </si>
  <si>
    <t>Development Ratio</t>
  </si>
  <si>
    <t>P/E Ratio</t>
  </si>
  <si>
    <t>Recurrent</t>
  </si>
  <si>
    <t>Development</t>
  </si>
  <si>
    <t>eq share</t>
  </si>
  <si>
    <t>grants</t>
  </si>
  <si>
    <t>osr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</si>
</sst>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_-* #,##0_-;\-* #,##0_-;_-* &quot;-&quot;??_-;_-@_-"/>
    <numFmt numFmtId="179" formatCode="_(* #,##0_);_(* \(#,##0\);_(* &quot;-&quot;??_);_(@_)"/>
    <numFmt numFmtId="180" formatCode="0.0"/>
    <numFmt numFmtId="181" formatCode="_-* #,##0.0_-;\-* #,##0.0_-;_-* &quot;-&quot;??_-;_-@_-"/>
    <numFmt numFmtId="182" formatCode="_(* #,##0_);_(* \(#,##0\);_(* &quot;-&quot;?_);_(@_)"/>
  </numFmts>
  <fonts count="43">
    <font>
      <sz val="11"/>
      <color theme="1"/>
      <name val="Calibri"/>
      <charset val="134"/>
      <scheme val="minor"/>
    </font>
    <font>
      <sz val="16"/>
      <color rgb="FFFF0000"/>
      <name val="Calibri"/>
      <charset val="134"/>
      <scheme val="minor"/>
    </font>
    <font>
      <sz val="16"/>
      <name val="Calibri"/>
      <charset val="134"/>
      <scheme val="minor"/>
    </font>
    <font>
      <sz val="16"/>
      <name val="Maiandra GD"/>
      <charset val="134"/>
    </font>
    <font>
      <b/>
      <sz val="16"/>
      <name val="Maiandra GD"/>
      <charset val="134"/>
    </font>
    <font>
      <sz val="16"/>
      <color rgb="FFFF0000"/>
      <name val="Maiandra GD"/>
      <charset val="134"/>
    </font>
    <font>
      <sz val="11"/>
      <color theme="1"/>
      <name val="Maiandra GD"/>
      <charset val="134"/>
    </font>
    <font>
      <b/>
      <sz val="11"/>
      <color theme="1"/>
      <name val="Calibri"/>
      <charset val="134"/>
      <scheme val="minor"/>
    </font>
    <font>
      <sz val="11"/>
      <name val="Times New Roman"/>
      <charset val="134"/>
    </font>
    <font>
      <sz val="11"/>
      <color theme="1"/>
      <name val="Calibri"/>
      <charset val="134"/>
      <scheme val="minor"/>
    </font>
    <font>
      <sz val="14"/>
      <name val="Times New Roman"/>
      <charset val="134"/>
    </font>
    <font>
      <sz val="14"/>
      <color rgb="FFFF0000"/>
      <name val="Times New Roman"/>
      <charset val="134"/>
    </font>
    <font>
      <sz val="16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b/>
      <sz val="16"/>
      <name val="Times New Roman"/>
      <charset val="134"/>
    </font>
    <font>
      <sz val="18"/>
      <name val="Times New Roman"/>
      <charset val="134"/>
    </font>
    <font>
      <b/>
      <sz val="18"/>
      <name val="Times New Roman"/>
      <charset val="134"/>
    </font>
    <font>
      <b/>
      <sz val="16"/>
      <color rgb="FFFF0000"/>
      <name val="Times New Roman"/>
      <charset val="134"/>
    </font>
    <font>
      <sz val="16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"/>
      <scheme val="minor"/>
    </font>
    <font>
      <sz val="11"/>
      <color rgb="FF006100"/>
      <name val="Calibri"/>
      <charset val="1"/>
      <scheme val="minor"/>
    </font>
    <font>
      <sz val="11"/>
      <color rgb="FF000000"/>
      <name val="Calibri"/>
      <charset val="134"/>
      <scheme val="minor"/>
    </font>
    <font>
      <b/>
      <sz val="11"/>
      <color theme="1"/>
      <name val="Calibri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176" fontId="9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2" borderId="15" applyNumberFormat="0" applyAlignment="0" applyProtection="0">
      <alignment vertical="center"/>
    </xf>
    <xf numFmtId="0" fontId="29" fillId="23" borderId="16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31" fillId="24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9" fillId="33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0" fillId="52" borderId="0" applyNumberFormat="0" applyBorder="0" applyAlignment="0" applyProtection="0"/>
    <xf numFmtId="0" fontId="9" fillId="0" borderId="0"/>
    <xf numFmtId="0" fontId="41" fillId="0" borderId="0"/>
    <xf numFmtId="0" fontId="9" fillId="0" borderId="0"/>
    <xf numFmtId="0" fontId="9" fillId="0" borderId="0"/>
    <xf numFmtId="0" fontId="39" fillId="0" borderId="0"/>
    <xf numFmtId="0" fontId="9" fillId="0" borderId="0"/>
    <xf numFmtId="0" fontId="9" fillId="0" borderId="0"/>
    <xf numFmtId="0" fontId="42" fillId="0" borderId="19" applyNumberFormat="0" applyFill="0" applyAlignment="0" applyProtection="0"/>
  </cellStyleXfs>
  <cellXfs count="4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" fontId="2" fillId="0" borderId="0" xfId="0" applyNumberFormat="1" applyFont="1"/>
    <xf numFmtId="1" fontId="3" fillId="0" borderId="0" xfId="0" applyNumberFormat="1" applyFont="1"/>
    <xf numFmtId="178" fontId="3" fillId="0" borderId="0" xfId="1" applyNumberFormat="1" applyFont="1"/>
    <xf numFmtId="0" fontId="4" fillId="2" borderId="0" xfId="0" applyFont="1" applyFill="1" applyAlignment="1">
      <alignment horizontal="centerContinuous"/>
    </xf>
    <xf numFmtId="0" fontId="4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176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76" fontId="3" fillId="0" borderId="2" xfId="1" applyFont="1" applyBorder="1" applyAlignment="1">
      <alignment horizontal="center" vertical="top"/>
    </xf>
    <xf numFmtId="0" fontId="2" fillId="0" borderId="2" xfId="0" applyFont="1" applyBorder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/>
    </xf>
    <xf numFmtId="178" fontId="2" fillId="0" borderId="0" xfId="1" applyNumberFormat="1" applyFont="1"/>
    <xf numFmtId="10" fontId="2" fillId="0" borderId="0" xfId="3" applyNumberFormat="1" applyFont="1"/>
    <xf numFmtId="0" fontId="6" fillId="2" borderId="0" xfId="0" applyFont="1" applyFill="1" applyAlignment="1">
      <alignment horizontal="centerContinuous"/>
    </xf>
    <xf numFmtId="178" fontId="3" fillId="2" borderId="0" xfId="1" applyNumberFormat="1" applyFont="1" applyFill="1" applyAlignment="1">
      <alignment horizontal="centerContinuous"/>
    </xf>
    <xf numFmtId="178" fontId="4" fillId="2" borderId="2" xfId="1" applyNumberFormat="1" applyFont="1" applyFill="1" applyBorder="1" applyAlignment="1">
      <alignment horizontal="center" wrapText="1"/>
    </xf>
    <xf numFmtId="178" fontId="3" fillId="0" borderId="2" xfId="1" applyNumberFormat="1" applyFont="1" applyBorder="1"/>
    <xf numFmtId="176" fontId="2" fillId="0" borderId="0" xfId="1" applyFont="1"/>
    <xf numFmtId="176" fontId="3" fillId="0" borderId="2" xfId="1" applyFont="1" applyBorder="1"/>
    <xf numFmtId="178" fontId="3" fillId="0" borderId="2" xfId="1" applyNumberFormat="1" applyFont="1" applyBorder="1" applyAlignment="1">
      <alignment horizontal="center" vertical="center"/>
    </xf>
    <xf numFmtId="176" fontId="3" fillId="0" borderId="0" xfId="1" applyFont="1"/>
    <xf numFmtId="0" fontId="7" fillId="0" borderId="2" xfId="0" applyFont="1" applyBorder="1" applyAlignment="1">
      <alignment horizontal="center"/>
    </xf>
    <xf numFmtId="176" fontId="8" fillId="4" borderId="2" xfId="1" applyFont="1" applyFill="1" applyBorder="1" applyAlignment="1">
      <alignment horizontal="left" vertical="center" wrapText="1"/>
    </xf>
    <xf numFmtId="176" fontId="9" fillId="0" borderId="2" xfId="1" applyFont="1" applyBorder="1"/>
    <xf numFmtId="0" fontId="7" fillId="0" borderId="2" xfId="0" applyFont="1" applyBorder="1"/>
    <xf numFmtId="176" fontId="7" fillId="0" borderId="2" xfId="1" applyFont="1" applyBorder="1"/>
    <xf numFmtId="178" fontId="10" fillId="0" borderId="0" xfId="58" applyNumberFormat="1" applyFont="1" applyAlignment="1">
      <alignment vertical="center"/>
    </xf>
    <xf numFmtId="178" fontId="10" fillId="0" borderId="0" xfId="58" applyNumberFormat="1" applyFont="1" applyFill="1" applyAlignment="1">
      <alignment vertical="center"/>
    </xf>
    <xf numFmtId="178" fontId="11" fillId="0" borderId="0" xfId="58" applyNumberFormat="1" applyFont="1" applyAlignment="1">
      <alignment vertical="center"/>
    </xf>
    <xf numFmtId="0" fontId="12" fillId="0" borderId="0" xfId="68" applyFont="1" applyAlignment="1">
      <alignment vertical="center"/>
    </xf>
    <xf numFmtId="0" fontId="10" fillId="0" borderId="0" xfId="68" applyFont="1" applyAlignment="1">
      <alignment vertical="center"/>
    </xf>
    <xf numFmtId="0" fontId="13" fillId="0" borderId="0" xfId="68" applyFont="1" applyAlignment="1">
      <alignment horizontal="center" vertical="center"/>
    </xf>
    <xf numFmtId="0" fontId="10" fillId="5" borderId="0" xfId="68" applyFont="1" applyFill="1" applyAlignment="1">
      <alignment vertical="center"/>
    </xf>
    <xf numFmtId="0" fontId="10" fillId="2" borderId="0" xfId="68" applyFont="1" applyFill="1" applyAlignment="1">
      <alignment horizontal="centerContinuous" vertical="center"/>
    </xf>
    <xf numFmtId="0" fontId="13" fillId="2" borderId="0" xfId="68" applyFont="1" applyFill="1" applyAlignment="1">
      <alignment horizontal="centerContinuous" vertical="center"/>
    </xf>
    <xf numFmtId="178" fontId="10" fillId="2" borderId="0" xfId="58" applyNumberFormat="1" applyFont="1" applyFill="1" applyAlignment="1">
      <alignment horizontal="centerContinuous" vertical="center"/>
    </xf>
    <xf numFmtId="0" fontId="10" fillId="2" borderId="0" xfId="68" applyFont="1" applyFill="1" applyAlignment="1">
      <alignment vertical="center"/>
    </xf>
    <xf numFmtId="0" fontId="13" fillId="2" borderId="3" xfId="68" applyFont="1" applyFill="1" applyBorder="1" applyAlignment="1">
      <alignment vertical="center"/>
    </xf>
    <xf numFmtId="179" fontId="13" fillId="2" borderId="2" xfId="68" applyNumberFormat="1" applyFont="1" applyFill="1" applyBorder="1" applyAlignment="1">
      <alignment horizontal="center" vertical="center" wrapText="1"/>
    </xf>
    <xf numFmtId="179" fontId="13" fillId="2" borderId="4" xfId="58" applyNumberFormat="1" applyFont="1" applyFill="1" applyBorder="1" applyAlignment="1">
      <alignment vertical="center" wrapText="1"/>
    </xf>
    <xf numFmtId="179" fontId="13" fillId="2" borderId="4" xfId="58" applyNumberFormat="1" applyFont="1" applyFill="1" applyBorder="1" applyAlignment="1">
      <alignment horizontal="center" vertical="center" wrapText="1"/>
    </xf>
    <xf numFmtId="178" fontId="10" fillId="0" borderId="0" xfId="58" applyNumberFormat="1" applyFont="1" applyAlignment="1">
      <alignment horizontal="center" vertical="center"/>
    </xf>
    <xf numFmtId="0" fontId="10" fillId="2" borderId="2" xfId="68" applyFont="1" applyFill="1" applyBorder="1" applyAlignment="1">
      <alignment vertical="center"/>
    </xf>
    <xf numFmtId="179" fontId="13" fillId="2" borderId="5" xfId="58" applyNumberFormat="1" applyFont="1" applyFill="1" applyBorder="1" applyAlignment="1">
      <alignment horizontal="center" vertical="center" wrapText="1"/>
    </xf>
    <xf numFmtId="0" fontId="13" fillId="2" borderId="2" xfId="68" applyFont="1" applyFill="1" applyBorder="1" applyAlignment="1">
      <alignment horizontal="center" vertical="center"/>
    </xf>
    <xf numFmtId="0" fontId="10" fillId="0" borderId="4" xfId="68" applyFont="1" applyBorder="1" applyAlignment="1">
      <alignment vertical="center"/>
    </xf>
    <xf numFmtId="178" fontId="10" fillId="0" borderId="2" xfId="68" applyNumberFormat="1" applyFont="1" applyBorder="1" applyAlignment="1">
      <alignment horizontal="center" vertical="center"/>
    </xf>
    <xf numFmtId="176" fontId="10" fillId="0" borderId="2" xfId="68" applyNumberFormat="1" applyFont="1" applyBorder="1" applyAlignment="1">
      <alignment vertical="center" wrapText="1"/>
    </xf>
    <xf numFmtId="178" fontId="10" fillId="5" borderId="6" xfId="58" applyNumberFormat="1" applyFont="1" applyFill="1" applyBorder="1" applyAlignment="1">
      <alignment vertical="center"/>
    </xf>
    <xf numFmtId="178" fontId="10" fillId="6" borderId="2" xfId="68" applyNumberFormat="1" applyFont="1" applyFill="1" applyBorder="1" applyAlignment="1">
      <alignment vertical="center"/>
    </xf>
    <xf numFmtId="179" fontId="10" fillId="0" borderId="6" xfId="68" applyNumberFormat="1" applyFont="1" applyBorder="1" applyAlignment="1">
      <alignment vertical="center"/>
    </xf>
    <xf numFmtId="178" fontId="10" fillId="7" borderId="2" xfId="1" applyNumberFormat="1" applyFont="1" applyFill="1" applyBorder="1" applyAlignment="1">
      <alignment vertical="center"/>
    </xf>
    <xf numFmtId="0" fontId="10" fillId="0" borderId="7" xfId="68" applyFont="1" applyBorder="1" applyAlignment="1">
      <alignment vertical="center"/>
    </xf>
    <xf numFmtId="178" fontId="10" fillId="0" borderId="6" xfId="68" applyNumberFormat="1" applyFont="1" applyBorder="1" applyAlignment="1">
      <alignment vertical="center"/>
    </xf>
    <xf numFmtId="0" fontId="10" fillId="0" borderId="5" xfId="68" applyFont="1" applyBorder="1" applyAlignment="1">
      <alignment vertical="center"/>
    </xf>
    <xf numFmtId="176" fontId="10" fillId="4" borderId="2" xfId="58" applyFont="1" applyFill="1" applyBorder="1" applyAlignment="1">
      <alignment horizontal="left" vertical="center" wrapText="1"/>
    </xf>
    <xf numFmtId="0" fontId="13" fillId="8" borderId="2" xfId="68" applyFont="1" applyFill="1" applyBorder="1" applyAlignment="1">
      <alignment horizontal="center" vertical="center"/>
    </xf>
    <xf numFmtId="178" fontId="13" fillId="8" borderId="6" xfId="58" applyNumberFormat="1" applyFont="1" applyFill="1" applyBorder="1" applyAlignment="1">
      <alignment vertical="center"/>
    </xf>
    <xf numFmtId="178" fontId="13" fillId="9" borderId="2" xfId="58" applyNumberFormat="1" applyFont="1" applyFill="1" applyBorder="1" applyAlignment="1">
      <alignment vertical="center"/>
    </xf>
    <xf numFmtId="178" fontId="13" fillId="9" borderId="6" xfId="58" applyNumberFormat="1" applyFont="1" applyFill="1" applyBorder="1" applyAlignment="1">
      <alignment vertical="center"/>
    </xf>
    <xf numFmtId="0" fontId="10" fillId="0" borderId="6" xfId="68" applyFont="1" applyBorder="1" applyAlignment="1">
      <alignment horizontal="center" vertical="center"/>
    </xf>
    <xf numFmtId="0" fontId="10" fillId="0" borderId="8" xfId="68" applyFont="1" applyBorder="1" applyAlignment="1">
      <alignment horizontal="center" vertical="center"/>
    </xf>
    <xf numFmtId="178" fontId="10" fillId="0" borderId="2" xfId="68" applyNumberFormat="1" applyFont="1" applyBorder="1" applyAlignment="1">
      <alignment vertical="center"/>
    </xf>
    <xf numFmtId="0" fontId="10" fillId="0" borderId="6" xfId="68" applyFont="1" applyBorder="1" applyAlignment="1">
      <alignment vertical="center"/>
    </xf>
    <xf numFmtId="0" fontId="10" fillId="0" borderId="2" xfId="68" applyFont="1" applyBorder="1" applyAlignment="1">
      <alignment vertical="center"/>
    </xf>
    <xf numFmtId="178" fontId="13" fillId="8" borderId="2" xfId="68" applyNumberFormat="1" applyFont="1" applyFill="1" applyBorder="1" applyAlignment="1">
      <alignment vertical="center"/>
    </xf>
    <xf numFmtId="178" fontId="13" fillId="8" borderId="6" xfId="68" applyNumberFormat="1" applyFont="1" applyFill="1" applyBorder="1" applyAlignment="1">
      <alignment horizontal="center" vertical="center"/>
    </xf>
    <xf numFmtId="178" fontId="13" fillId="8" borderId="8" xfId="68" applyNumberFormat="1" applyFont="1" applyFill="1" applyBorder="1" applyAlignment="1">
      <alignment horizontal="center" vertical="center"/>
    </xf>
    <xf numFmtId="178" fontId="10" fillId="9" borderId="2" xfId="68" applyNumberFormat="1" applyFont="1" applyFill="1" applyBorder="1" applyAlignment="1">
      <alignment vertical="center"/>
    </xf>
    <xf numFmtId="0" fontId="10" fillId="9" borderId="6" xfId="68" applyFont="1" applyFill="1" applyBorder="1" applyAlignment="1">
      <alignment vertical="center"/>
    </xf>
    <xf numFmtId="0" fontId="10" fillId="9" borderId="2" xfId="68" applyFont="1" applyFill="1" applyBorder="1" applyAlignment="1">
      <alignment vertical="center"/>
    </xf>
    <xf numFmtId="0" fontId="10" fillId="0" borderId="4" xfId="68" applyFont="1" applyBorder="1" applyAlignment="1">
      <alignment horizontal="center" vertical="center" wrapText="1"/>
    </xf>
    <xf numFmtId="179" fontId="13" fillId="4" borderId="2" xfId="58" applyNumberFormat="1" applyFont="1" applyFill="1" applyBorder="1" applyAlignment="1" applyProtection="1">
      <alignment horizontal="center" vertical="center" wrapText="1"/>
      <protection locked="0"/>
    </xf>
    <xf numFmtId="179" fontId="10" fillId="4" borderId="2" xfId="58" applyNumberFormat="1" applyFont="1" applyFill="1" applyBorder="1" applyAlignment="1" applyProtection="1">
      <alignment horizontal="left" vertical="center" wrapText="1"/>
    </xf>
    <xf numFmtId="179" fontId="10" fillId="5" borderId="6" xfId="58" applyNumberFormat="1" applyFont="1" applyFill="1" applyBorder="1" applyAlignment="1" applyProtection="1">
      <alignment vertical="center" wrapText="1"/>
      <protection locked="0"/>
    </xf>
    <xf numFmtId="178" fontId="10" fillId="10" borderId="2" xfId="68" applyNumberFormat="1" applyFont="1" applyFill="1" applyBorder="1" applyAlignment="1">
      <alignment vertical="center"/>
    </xf>
    <xf numFmtId="0" fontId="10" fillId="0" borderId="7" xfId="68" applyFont="1" applyBorder="1" applyAlignment="1">
      <alignment horizontal="center" vertical="center" wrapText="1"/>
    </xf>
    <xf numFmtId="0" fontId="10" fillId="0" borderId="5" xfId="68" applyFont="1" applyBorder="1" applyAlignment="1">
      <alignment horizontal="center" vertical="center" wrapText="1"/>
    </xf>
    <xf numFmtId="179" fontId="10" fillId="4" borderId="2" xfId="68" applyNumberFormat="1" applyFont="1" applyFill="1" applyBorder="1" applyAlignment="1">
      <alignment vertical="center"/>
    </xf>
    <xf numFmtId="179" fontId="13" fillId="11" borderId="6" xfId="58" applyNumberFormat="1" applyFont="1" applyFill="1" applyBorder="1" applyAlignment="1" applyProtection="1">
      <alignment horizontal="center" vertical="center"/>
    </xf>
    <xf numFmtId="179" fontId="13" fillId="11" borderId="8" xfId="58" applyNumberFormat="1" applyFont="1" applyFill="1" applyBorder="1" applyAlignment="1" applyProtection="1">
      <alignment horizontal="center" vertical="center"/>
    </xf>
    <xf numFmtId="179" fontId="13" fillId="11" borderId="9" xfId="58" applyNumberFormat="1" applyFont="1" applyFill="1" applyBorder="1" applyAlignment="1" applyProtection="1">
      <alignment horizontal="center" vertical="center"/>
    </xf>
    <xf numFmtId="179" fontId="13" fillId="11" borderId="6" xfId="58" applyNumberFormat="1" applyFont="1" applyFill="1" applyBorder="1" applyAlignment="1" applyProtection="1">
      <alignment horizontal="left" vertical="center"/>
    </xf>
    <xf numFmtId="178" fontId="13" fillId="11" borderId="6" xfId="58" applyNumberFormat="1" applyFont="1" applyFill="1" applyBorder="1" applyAlignment="1" applyProtection="1">
      <alignment horizontal="left" vertical="center"/>
    </xf>
    <xf numFmtId="179" fontId="13" fillId="12" borderId="2" xfId="58" applyNumberFormat="1" applyFont="1" applyFill="1" applyBorder="1" applyAlignment="1" applyProtection="1">
      <alignment horizontal="left" vertical="center"/>
    </xf>
    <xf numFmtId="179" fontId="13" fillId="0" borderId="8" xfId="58" applyNumberFormat="1" applyFont="1" applyFill="1" applyBorder="1" applyAlignment="1" applyProtection="1">
      <alignment horizontal="center" vertical="center"/>
    </xf>
    <xf numFmtId="179" fontId="13" fillId="0" borderId="8" xfId="58" applyNumberFormat="1" applyFont="1" applyFill="1" applyBorder="1" applyAlignment="1" applyProtection="1">
      <alignment horizontal="left" vertical="center"/>
    </xf>
    <xf numFmtId="178" fontId="13" fillId="0" borderId="0" xfId="58" applyNumberFormat="1" applyFont="1" applyFill="1" applyBorder="1" applyAlignment="1" applyProtection="1">
      <alignment horizontal="left" vertical="center"/>
    </xf>
    <xf numFmtId="179" fontId="13" fillId="0" borderId="2" xfId="58" applyNumberFormat="1" applyFont="1" applyFill="1" applyBorder="1" applyAlignment="1" applyProtection="1">
      <alignment horizontal="left" vertical="center"/>
    </xf>
    <xf numFmtId="179" fontId="13" fillId="0" borderId="6" xfId="58" applyNumberFormat="1" applyFont="1" applyFill="1" applyBorder="1" applyAlignment="1" applyProtection="1">
      <alignment horizontal="left" vertical="center"/>
    </xf>
    <xf numFmtId="179" fontId="13" fillId="9" borderId="8" xfId="58" applyNumberFormat="1" applyFont="1" applyFill="1" applyBorder="1" applyAlignment="1" applyProtection="1">
      <alignment horizontal="centerContinuous" vertical="center"/>
    </xf>
    <xf numFmtId="178" fontId="13" fillId="9" borderId="0" xfId="58" applyNumberFormat="1" applyFont="1" applyFill="1" applyAlignment="1" applyProtection="1">
      <alignment horizontal="centerContinuous" vertical="center"/>
    </xf>
    <xf numFmtId="179" fontId="13" fillId="9" borderId="2" xfId="58" applyNumberFormat="1" applyFont="1" applyFill="1" applyBorder="1" applyAlignment="1" applyProtection="1">
      <alignment horizontal="centerContinuous" vertical="center"/>
    </xf>
    <xf numFmtId="179" fontId="13" fillId="9" borderId="6" xfId="58" applyNumberFormat="1" applyFont="1" applyFill="1" applyBorder="1" applyAlignment="1" applyProtection="1">
      <alignment horizontal="centerContinuous" vertical="center"/>
    </xf>
    <xf numFmtId="179" fontId="13" fillId="9" borderId="2" xfId="58" applyNumberFormat="1" applyFont="1" applyFill="1" applyBorder="1" applyAlignment="1" applyProtection="1">
      <alignment horizontal="left" vertical="center"/>
    </xf>
    <xf numFmtId="0" fontId="10" fillId="0" borderId="8" xfId="68" applyFont="1" applyBorder="1" applyAlignment="1">
      <alignment vertical="center"/>
    </xf>
    <xf numFmtId="178" fontId="13" fillId="0" borderId="6" xfId="68" applyNumberFormat="1" applyFont="1" applyBorder="1" applyAlignment="1">
      <alignment vertical="center"/>
    </xf>
    <xf numFmtId="178" fontId="13" fillId="0" borderId="8" xfId="68" applyNumberFormat="1" applyFont="1" applyBorder="1" applyAlignment="1">
      <alignment vertical="center"/>
    </xf>
    <xf numFmtId="178" fontId="13" fillId="0" borderId="8" xfId="68" applyNumberFormat="1" applyFont="1" applyBorder="1" applyAlignment="1">
      <alignment horizontal="center" vertical="center"/>
    </xf>
    <xf numFmtId="178" fontId="13" fillId="8" borderId="6" xfId="68" applyNumberFormat="1" applyFont="1" applyFill="1" applyBorder="1" applyAlignment="1">
      <alignment vertical="center"/>
    </xf>
    <xf numFmtId="178" fontId="10" fillId="9" borderId="6" xfId="68" applyNumberFormat="1" applyFont="1" applyFill="1" applyBorder="1" applyAlignment="1">
      <alignment vertical="center"/>
    </xf>
    <xf numFmtId="179" fontId="10" fillId="4" borderId="2" xfId="58" applyNumberFormat="1" applyFont="1" applyFill="1" applyBorder="1" applyAlignment="1" applyProtection="1">
      <alignment vertical="center" wrapText="1"/>
      <protection locked="0"/>
    </xf>
    <xf numFmtId="179" fontId="13" fillId="11" borderId="2" xfId="58" applyNumberFormat="1" applyFont="1" applyFill="1" applyBorder="1" applyAlignment="1" applyProtection="1">
      <alignment horizontal="center" vertical="center"/>
    </xf>
    <xf numFmtId="179" fontId="10" fillId="4" borderId="2" xfId="58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68" applyFont="1" applyBorder="1" applyAlignment="1">
      <alignment horizontal="center" vertical="center" wrapText="1"/>
    </xf>
    <xf numFmtId="0" fontId="13" fillId="0" borderId="4" xfId="68" applyFont="1" applyBorder="1" applyAlignment="1">
      <alignment horizontal="center" vertical="center" wrapText="1"/>
    </xf>
    <xf numFmtId="179" fontId="13" fillId="4" borderId="4" xfId="58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68" applyFont="1" applyBorder="1" applyAlignment="1">
      <alignment horizontal="center" vertical="center" wrapText="1"/>
    </xf>
    <xf numFmtId="179" fontId="13" fillId="4" borderId="7" xfId="58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68" applyFont="1" applyBorder="1" applyAlignment="1">
      <alignment horizontal="center" vertical="center" wrapText="1"/>
    </xf>
    <xf numFmtId="179" fontId="13" fillId="4" borderId="5" xfId="58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68" applyFont="1" applyBorder="1" applyAlignment="1">
      <alignment horizontal="center" vertical="center" wrapText="1"/>
    </xf>
    <xf numFmtId="179" fontId="10" fillId="4" borderId="2" xfId="68" applyNumberFormat="1" applyFont="1" applyFill="1" applyBorder="1" applyAlignment="1">
      <alignment vertical="center" wrapText="1"/>
    </xf>
    <xf numFmtId="0" fontId="14" fillId="0" borderId="7" xfId="68" applyFont="1" applyBorder="1" applyAlignment="1">
      <alignment horizontal="center" vertical="center" wrapText="1"/>
    </xf>
    <xf numFmtId="0" fontId="13" fillId="0" borderId="2" xfId="68" applyFont="1" applyBorder="1" applyAlignment="1">
      <alignment horizontal="center" vertical="center"/>
    </xf>
    <xf numFmtId="0" fontId="14" fillId="0" borderId="5" xfId="68" applyFont="1" applyBorder="1" applyAlignment="1">
      <alignment horizontal="center" vertical="center" wrapText="1"/>
    </xf>
    <xf numFmtId="0" fontId="13" fillId="0" borderId="2" xfId="68" applyFont="1" applyBorder="1" applyAlignment="1">
      <alignment vertical="center"/>
    </xf>
    <xf numFmtId="179" fontId="13" fillId="4" borderId="2" xfId="58" applyNumberFormat="1" applyFont="1" applyFill="1" applyBorder="1" applyAlignment="1" applyProtection="1">
      <alignment vertical="center" wrapText="1"/>
      <protection locked="0"/>
    </xf>
    <xf numFmtId="0" fontId="10" fillId="5" borderId="6" xfId="68" applyFont="1" applyFill="1" applyBorder="1" applyAlignment="1">
      <alignment vertical="center"/>
    </xf>
    <xf numFmtId="178" fontId="13" fillId="8" borderId="6" xfId="68" applyNumberFormat="1" applyFont="1" applyFill="1" applyBorder="1" applyAlignment="1">
      <alignment horizontal="centerContinuous" vertical="center"/>
    </xf>
    <xf numFmtId="178" fontId="13" fillId="8" borderId="8" xfId="68" applyNumberFormat="1" applyFont="1" applyFill="1" applyBorder="1" applyAlignment="1">
      <alignment horizontal="centerContinuous" vertical="center"/>
    </xf>
    <xf numFmtId="178" fontId="10" fillId="0" borderId="0" xfId="58" applyNumberFormat="1" applyFont="1" applyAlignment="1">
      <alignment horizontal="centerContinuous" vertical="center"/>
    </xf>
    <xf numFmtId="178" fontId="10" fillId="9" borderId="2" xfId="68" applyNumberFormat="1" applyFont="1" applyFill="1" applyBorder="1" applyAlignment="1">
      <alignment horizontal="centerContinuous" vertical="center"/>
    </xf>
    <xf numFmtId="178" fontId="10" fillId="9" borderId="6" xfId="68" applyNumberFormat="1" applyFont="1" applyFill="1" applyBorder="1" applyAlignment="1">
      <alignment horizontal="centerContinuous" vertical="center"/>
    </xf>
    <xf numFmtId="0" fontId="13" fillId="0" borderId="2" xfId="68" applyFont="1" applyBorder="1" applyAlignment="1">
      <alignment horizontal="center" vertical="center" wrapText="1"/>
    </xf>
    <xf numFmtId="0" fontId="10" fillId="4" borderId="2" xfId="58" applyNumberFormat="1" applyFont="1" applyFill="1" applyBorder="1" applyAlignment="1" applyProtection="1">
      <alignment vertical="center" wrapText="1"/>
      <protection locked="0"/>
    </xf>
    <xf numFmtId="178" fontId="10" fillId="5" borderId="6" xfId="58" applyNumberFormat="1" applyFont="1" applyFill="1" applyBorder="1" applyAlignment="1" applyProtection="1">
      <alignment vertical="center" wrapText="1"/>
      <protection locked="0"/>
    </xf>
    <xf numFmtId="0" fontId="13" fillId="0" borderId="4" xfId="68" applyFont="1" applyBorder="1" applyAlignment="1">
      <alignment vertical="center" wrapText="1"/>
    </xf>
    <xf numFmtId="0" fontId="13" fillId="0" borderId="7" xfId="68" applyFont="1" applyBorder="1" applyAlignment="1">
      <alignment vertical="center" wrapText="1"/>
    </xf>
    <xf numFmtId="0" fontId="10" fillId="0" borderId="10" xfId="68" applyFont="1" applyBorder="1" applyAlignment="1">
      <alignment horizontal="center" vertical="center" wrapText="1"/>
    </xf>
    <xf numFmtId="179" fontId="13" fillId="4" borderId="8" xfId="58" applyNumberFormat="1" applyFont="1" applyFill="1" applyBorder="1" applyAlignment="1" applyProtection="1">
      <alignment horizontal="center" vertical="center" wrapText="1"/>
      <protection locked="0"/>
    </xf>
    <xf numFmtId="179" fontId="10" fillId="4" borderId="9" xfId="58" applyNumberFormat="1" applyFont="1" applyFill="1" applyBorder="1" applyAlignment="1" applyProtection="1">
      <alignment vertical="center" wrapText="1"/>
      <protection locked="0"/>
    </xf>
    <xf numFmtId="179" fontId="10" fillId="4" borderId="2" xfId="58" applyNumberFormat="1" applyFont="1" applyFill="1" applyBorder="1" applyAlignment="1" applyProtection="1">
      <alignment horizontal="center" vertical="center" wrapText="1"/>
      <protection locked="0"/>
    </xf>
    <xf numFmtId="179" fontId="10" fillId="5" borderId="6" xfId="68" applyNumberFormat="1" applyFont="1" applyFill="1" applyBorder="1" applyAlignment="1">
      <alignment vertical="center"/>
    </xf>
    <xf numFmtId="178" fontId="10" fillId="0" borderId="2" xfId="58" applyNumberFormat="1" applyFont="1" applyBorder="1" applyAlignment="1">
      <alignment vertical="center"/>
    </xf>
    <xf numFmtId="176" fontId="10" fillId="5" borderId="6" xfId="58" applyFont="1" applyFill="1" applyBorder="1" applyAlignment="1" applyProtection="1">
      <alignment vertical="center" wrapText="1"/>
      <protection locked="0"/>
    </xf>
    <xf numFmtId="178" fontId="11" fillId="0" borderId="2" xfId="68" applyNumberFormat="1" applyFont="1" applyBorder="1" applyAlignment="1">
      <alignment vertical="center"/>
    </xf>
    <xf numFmtId="179" fontId="10" fillId="0" borderId="2" xfId="58" applyNumberFormat="1" applyFont="1" applyFill="1" applyBorder="1" applyAlignment="1" applyProtection="1">
      <alignment horizontal="left" vertical="center" wrapText="1"/>
    </xf>
    <xf numFmtId="179" fontId="13" fillId="4" borderId="2" xfId="58" applyNumberFormat="1" applyFont="1" applyFill="1" applyBorder="1" applyAlignment="1" applyProtection="1">
      <alignment vertical="center"/>
      <protection locked="0"/>
    </xf>
    <xf numFmtId="0" fontId="10" fillId="12" borderId="2" xfId="68" applyFont="1" applyFill="1" applyBorder="1" applyAlignment="1">
      <alignment vertical="center"/>
    </xf>
    <xf numFmtId="178" fontId="10" fillId="12" borderId="2" xfId="68" applyNumberFormat="1" applyFont="1" applyFill="1" applyBorder="1" applyAlignment="1">
      <alignment vertical="center"/>
    </xf>
    <xf numFmtId="178" fontId="10" fillId="12" borderId="6" xfId="68" applyNumberFormat="1" applyFont="1" applyFill="1" applyBorder="1" applyAlignment="1">
      <alignment vertical="center"/>
    </xf>
    <xf numFmtId="178" fontId="10" fillId="13" borderId="6" xfId="68" applyNumberFormat="1" applyFont="1" applyFill="1" applyBorder="1" applyAlignment="1">
      <alignment vertical="center"/>
    </xf>
    <xf numFmtId="0" fontId="13" fillId="0" borderId="5" xfId="68" applyFont="1" applyBorder="1" applyAlignment="1">
      <alignment vertical="center" wrapText="1"/>
    </xf>
    <xf numFmtId="179" fontId="13" fillId="14" borderId="2" xfId="58" applyNumberFormat="1" applyFont="1" applyFill="1" applyBorder="1" applyAlignment="1" applyProtection="1">
      <alignment horizontal="left" vertical="center"/>
    </xf>
    <xf numFmtId="179" fontId="13" fillId="14" borderId="6" xfId="58" applyNumberFormat="1" applyFont="1" applyFill="1" applyBorder="1" applyAlignment="1" applyProtection="1">
      <alignment horizontal="left" vertical="center"/>
    </xf>
    <xf numFmtId="178" fontId="13" fillId="8" borderId="2" xfId="68" applyNumberFormat="1" applyFont="1" applyFill="1" applyBorder="1" applyAlignment="1">
      <alignment horizontal="centerContinuous" vertical="center"/>
    </xf>
    <xf numFmtId="178" fontId="13" fillId="0" borderId="11" xfId="68" applyNumberFormat="1" applyFont="1" applyBorder="1" applyAlignment="1">
      <alignment vertical="center"/>
    </xf>
    <xf numFmtId="179" fontId="13" fillId="4" borderId="11" xfId="58" applyNumberFormat="1" applyFont="1" applyFill="1" applyBorder="1" applyAlignment="1" applyProtection="1">
      <alignment horizontal="center" vertical="center" wrapText="1"/>
      <protection locked="0"/>
    </xf>
    <xf numFmtId="178" fontId="10" fillId="0" borderId="2" xfId="68" applyNumberFormat="1" applyFont="1" applyBorder="1" applyAlignment="1">
      <alignment horizontal="left" vertical="center"/>
    </xf>
    <xf numFmtId="178" fontId="13" fillId="0" borderId="2" xfId="68" applyNumberFormat="1" applyFont="1" applyBorder="1" applyAlignment="1">
      <alignment vertical="center"/>
    </xf>
    <xf numFmtId="0" fontId="13" fillId="0" borderId="11" xfId="68" applyFont="1" applyBorder="1" applyAlignment="1">
      <alignment horizontal="center" vertical="center" wrapText="1"/>
    </xf>
    <xf numFmtId="179" fontId="13" fillId="4" borderId="3" xfId="58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68" applyFont="1" applyBorder="1" applyAlignment="1">
      <alignment horizontal="center" vertical="center" wrapText="1"/>
    </xf>
    <xf numFmtId="178" fontId="11" fillId="0" borderId="6" xfId="68" applyNumberFormat="1" applyFont="1" applyBorder="1" applyAlignment="1">
      <alignment vertical="center"/>
    </xf>
    <xf numFmtId="179" fontId="13" fillId="4" borderId="10" xfId="58" applyNumberFormat="1" applyFont="1" applyFill="1" applyBorder="1" applyAlignment="1" applyProtection="1">
      <alignment horizontal="center" vertical="center" wrapText="1"/>
      <protection locked="0"/>
    </xf>
    <xf numFmtId="0" fontId="13" fillId="4" borderId="4" xfId="58" applyNumberFormat="1" applyFont="1" applyFill="1" applyBorder="1" applyAlignment="1" applyProtection="1">
      <alignment horizontal="center" vertical="center" wrapText="1"/>
      <protection locked="0"/>
    </xf>
    <xf numFmtId="0" fontId="13" fillId="4" borderId="5" xfId="58" applyNumberFormat="1" applyFont="1" applyFill="1" applyBorder="1" applyAlignment="1" applyProtection="1">
      <alignment horizontal="center" vertical="center" wrapText="1"/>
      <protection locked="0"/>
    </xf>
    <xf numFmtId="178" fontId="13" fillId="5" borderId="6" xfId="58" applyNumberFormat="1" applyFont="1" applyFill="1" applyBorder="1" applyAlignment="1" applyProtection="1">
      <alignment vertical="center" wrapText="1"/>
      <protection locked="0"/>
    </xf>
    <xf numFmtId="178" fontId="13" fillId="10" borderId="2" xfId="58" applyNumberFormat="1" applyFont="1" applyFill="1" applyBorder="1" applyAlignment="1" applyProtection="1">
      <alignment vertical="center" wrapText="1"/>
      <protection locked="0"/>
    </xf>
    <xf numFmtId="178" fontId="13" fillId="0" borderId="6" xfId="58" applyNumberFormat="1" applyFont="1" applyFill="1" applyBorder="1" applyAlignment="1" applyProtection="1">
      <alignment vertical="center" wrapText="1"/>
      <protection locked="0"/>
    </xf>
    <xf numFmtId="0" fontId="13" fillId="4" borderId="7" xfId="58" applyNumberFormat="1" applyFont="1" applyFill="1" applyBorder="1" applyAlignment="1" applyProtection="1">
      <alignment horizontal="center" vertical="center" wrapText="1"/>
      <protection locked="0"/>
    </xf>
    <xf numFmtId="176" fontId="13" fillId="5" borderId="6" xfId="58" applyFont="1" applyFill="1" applyBorder="1" applyAlignment="1" applyProtection="1">
      <alignment vertical="center" wrapText="1"/>
      <protection locked="0"/>
    </xf>
    <xf numFmtId="176" fontId="13" fillId="10" borderId="2" xfId="58" applyFont="1" applyFill="1" applyBorder="1" applyAlignment="1" applyProtection="1">
      <alignment vertical="center" wrapText="1"/>
      <protection locked="0"/>
    </xf>
    <xf numFmtId="0" fontId="13" fillId="0" borderId="10" xfId="68" applyFont="1" applyBorder="1" applyAlignment="1">
      <alignment horizontal="center" vertical="center" wrapText="1"/>
    </xf>
    <xf numFmtId="179" fontId="13" fillId="11" borderId="10" xfId="58" applyNumberFormat="1" applyFont="1" applyFill="1" applyBorder="1" applyAlignment="1" applyProtection="1">
      <alignment horizontal="center" vertical="center"/>
    </xf>
    <xf numFmtId="179" fontId="13" fillId="11" borderId="2" xfId="58" applyNumberFormat="1" applyFont="1" applyFill="1" applyBorder="1" applyAlignment="1" applyProtection="1">
      <alignment horizontal="left" vertical="center"/>
    </xf>
    <xf numFmtId="179" fontId="13" fillId="0" borderId="9" xfId="58" applyNumberFormat="1" applyFont="1" applyFill="1" applyBorder="1" applyAlignment="1" applyProtection="1">
      <alignment horizontal="center" vertical="center"/>
    </xf>
    <xf numFmtId="179" fontId="11" fillId="4" borderId="2" xfId="58" applyNumberFormat="1" applyFont="1" applyFill="1" applyBorder="1" applyAlignment="1" applyProtection="1">
      <alignment vertical="center" wrapText="1"/>
      <protection locked="0"/>
    </xf>
    <xf numFmtId="179" fontId="11" fillId="5" borderId="6" xfId="58" applyNumberFormat="1" applyFont="1" applyFill="1" applyBorder="1" applyAlignment="1" applyProtection="1">
      <alignment vertical="center" wrapText="1"/>
      <protection locked="0"/>
    </xf>
    <xf numFmtId="178" fontId="11" fillId="10" borderId="2" xfId="68" applyNumberFormat="1" applyFont="1" applyFill="1" applyBorder="1" applyAlignment="1">
      <alignment vertical="center"/>
    </xf>
    <xf numFmtId="176" fontId="10" fillId="0" borderId="2" xfId="58" applyFont="1" applyFill="1" applyBorder="1" applyAlignment="1">
      <alignment horizontal="left" vertical="top" wrapText="1"/>
    </xf>
    <xf numFmtId="179" fontId="10" fillId="15" borderId="6" xfId="58" applyNumberFormat="1" applyFont="1" applyFill="1" applyBorder="1" applyAlignment="1" applyProtection="1">
      <alignment vertical="center" wrapText="1"/>
      <protection locked="0"/>
    </xf>
    <xf numFmtId="0" fontId="10" fillId="10" borderId="2" xfId="68" applyFont="1" applyFill="1" applyBorder="1" applyAlignment="1">
      <alignment vertical="center"/>
    </xf>
    <xf numFmtId="0" fontId="13" fillId="0" borderId="4" xfId="68" applyFont="1" applyBorder="1" applyAlignment="1">
      <alignment horizontal="center" vertical="top"/>
    </xf>
    <xf numFmtId="0" fontId="10" fillId="0" borderId="2" xfId="68" applyFont="1" applyBorder="1" applyAlignment="1">
      <alignment horizontal="left" vertical="center"/>
    </xf>
    <xf numFmtId="179" fontId="13" fillId="8" borderId="2" xfId="58" applyNumberFormat="1" applyFont="1" applyFill="1" applyBorder="1" applyAlignment="1" applyProtection="1">
      <alignment horizontal="centerContinuous" vertical="center"/>
    </xf>
    <xf numFmtId="179" fontId="13" fillId="8" borderId="6" xfId="58" applyNumberFormat="1" applyFont="1" applyFill="1" applyBorder="1" applyAlignment="1" applyProtection="1">
      <alignment horizontal="centerContinuous" vertical="center"/>
    </xf>
    <xf numFmtId="179" fontId="13" fillId="8" borderId="8" xfId="58" applyNumberFormat="1" applyFont="1" applyFill="1" applyBorder="1" applyAlignment="1" applyProtection="1">
      <alignment horizontal="centerContinuous" vertical="center"/>
    </xf>
    <xf numFmtId="179" fontId="13" fillId="0" borderId="2" xfId="58" applyNumberFormat="1" applyFont="1" applyFill="1" applyBorder="1" applyAlignment="1" applyProtection="1">
      <alignment horizontal="center" vertical="center" wrapText="1"/>
    </xf>
    <xf numFmtId="179" fontId="10" fillId="0" borderId="2" xfId="58" applyNumberFormat="1" applyFont="1" applyFill="1" applyBorder="1" applyAlignment="1" applyProtection="1">
      <alignment horizontal="left" vertical="center"/>
    </xf>
    <xf numFmtId="179" fontId="10" fillId="5" borderId="6" xfId="58" applyNumberFormat="1" applyFont="1" applyFill="1" applyBorder="1" applyAlignment="1" applyProtection="1">
      <alignment horizontal="left" vertical="center"/>
    </xf>
    <xf numFmtId="179" fontId="13" fillId="11" borderId="6" xfId="58" applyNumberFormat="1" applyFont="1" applyFill="1" applyBorder="1" applyAlignment="1" applyProtection="1">
      <alignment horizontal="centerContinuous" vertical="center"/>
    </xf>
    <xf numFmtId="178" fontId="13" fillId="11" borderId="6" xfId="58" applyNumberFormat="1" applyFont="1" applyFill="1" applyBorder="1" applyAlignment="1" applyProtection="1">
      <alignment horizontal="centerContinuous" vertical="center"/>
    </xf>
    <xf numFmtId="179" fontId="13" fillId="11" borderId="2" xfId="58" applyNumberFormat="1" applyFont="1" applyFill="1" applyBorder="1" applyAlignment="1" applyProtection="1">
      <alignment horizontal="centerContinuous" vertical="center"/>
    </xf>
    <xf numFmtId="43" fontId="10" fillId="0" borderId="2" xfId="51" applyFont="1" applyFill="1" applyBorder="1" applyAlignment="1">
      <alignment horizontal="left" vertical="top" wrapText="1"/>
    </xf>
    <xf numFmtId="179" fontId="10" fillId="15" borderId="2" xfId="55" applyNumberFormat="1" applyFont="1" applyFill="1" applyBorder="1" applyAlignment="1" applyProtection="1">
      <alignment vertical="center" wrapText="1"/>
      <protection locked="0"/>
    </xf>
    <xf numFmtId="179" fontId="13" fillId="5" borderId="6" xfId="58" applyNumberFormat="1" applyFont="1" applyFill="1" applyBorder="1" applyAlignment="1" applyProtection="1">
      <alignment horizontal="left" vertical="center"/>
    </xf>
    <xf numFmtId="0" fontId="10" fillId="4" borderId="0" xfId="68" applyFont="1" applyFill="1" applyAlignment="1">
      <alignment vertical="center"/>
    </xf>
    <xf numFmtId="179" fontId="13" fillId="4" borderId="8" xfId="58" applyNumberFormat="1" applyFont="1" applyFill="1" applyBorder="1" applyAlignment="1" applyProtection="1">
      <alignment horizontal="center" vertical="center"/>
    </xf>
    <xf numFmtId="179" fontId="13" fillId="8" borderId="2" xfId="58" applyNumberFormat="1" applyFont="1" applyFill="1" applyBorder="1" applyAlignment="1" applyProtection="1">
      <alignment vertical="center"/>
    </xf>
    <xf numFmtId="179" fontId="13" fillId="8" borderId="6" xfId="58" applyNumberFormat="1" applyFont="1" applyFill="1" applyBorder="1" applyAlignment="1" applyProtection="1">
      <alignment horizontal="center" vertical="center"/>
    </xf>
    <xf numFmtId="179" fontId="13" fillId="8" borderId="8" xfId="58" applyNumberFormat="1" applyFont="1" applyFill="1" applyBorder="1" applyAlignment="1" applyProtection="1">
      <alignment horizontal="center" vertical="center"/>
    </xf>
    <xf numFmtId="0" fontId="10" fillId="0" borderId="1" xfId="68" applyFont="1" applyBorder="1"/>
    <xf numFmtId="178" fontId="10" fillId="14" borderId="2" xfId="68" applyNumberFormat="1" applyFont="1" applyFill="1" applyBorder="1" applyAlignment="1">
      <alignment vertical="center"/>
    </xf>
    <xf numFmtId="178" fontId="13" fillId="14" borderId="6" xfId="68" applyNumberFormat="1" applyFont="1" applyFill="1" applyBorder="1" applyAlignment="1">
      <alignment vertical="center"/>
    </xf>
    <xf numFmtId="178" fontId="15" fillId="8" borderId="2" xfId="58" applyNumberFormat="1" applyFont="1" applyFill="1" applyBorder="1" applyAlignment="1">
      <alignment vertical="center" wrapText="1"/>
    </xf>
    <xf numFmtId="178" fontId="15" fillId="8" borderId="6" xfId="58" applyNumberFormat="1" applyFont="1" applyFill="1" applyBorder="1" applyAlignment="1">
      <alignment horizontal="center" vertical="center" wrapText="1"/>
    </xf>
    <xf numFmtId="178" fontId="15" fillId="8" borderId="9" xfId="58" applyNumberFormat="1" applyFont="1" applyFill="1" applyBorder="1" applyAlignment="1">
      <alignment horizontal="center" vertical="center" wrapText="1"/>
    </xf>
    <xf numFmtId="179" fontId="15" fillId="8" borderId="6" xfId="68" applyNumberFormat="1" applyFont="1" applyFill="1" applyBorder="1" applyAlignment="1">
      <alignment vertical="center"/>
    </xf>
    <xf numFmtId="178" fontId="15" fillId="8" borderId="6" xfId="58" applyNumberFormat="1" applyFont="1" applyFill="1" applyBorder="1" applyAlignment="1">
      <alignment vertical="center"/>
    </xf>
    <xf numFmtId="179" fontId="15" fillId="8" borderId="2" xfId="68" applyNumberFormat="1" applyFont="1" applyFill="1" applyBorder="1" applyAlignment="1">
      <alignment vertical="center"/>
    </xf>
    <xf numFmtId="178" fontId="13" fillId="0" borderId="0" xfId="58" applyNumberFormat="1" applyFont="1" applyFill="1" applyBorder="1" applyAlignment="1">
      <alignment vertical="center" wrapText="1"/>
    </xf>
    <xf numFmtId="178" fontId="13" fillId="0" borderId="0" xfId="58" applyNumberFormat="1" applyFont="1" applyFill="1" applyBorder="1" applyAlignment="1">
      <alignment horizontal="center" vertical="center" wrapText="1"/>
    </xf>
    <xf numFmtId="179" fontId="13" fillId="0" borderId="0" xfId="68" applyNumberFormat="1" applyFont="1" applyAlignment="1">
      <alignment vertical="center"/>
    </xf>
    <xf numFmtId="178" fontId="13" fillId="0" borderId="0" xfId="58" applyNumberFormat="1" applyFont="1" applyFill="1" applyBorder="1" applyAlignment="1">
      <alignment vertical="center"/>
    </xf>
    <xf numFmtId="176" fontId="13" fillId="0" borderId="0" xfId="1" applyFont="1" applyAlignment="1">
      <alignment horizontal="center" vertical="center" wrapText="1"/>
    </xf>
    <xf numFmtId="176" fontId="16" fillId="0" borderId="0" xfId="1" applyFont="1" applyAlignment="1">
      <alignment vertical="center" wrapText="1"/>
    </xf>
    <xf numFmtId="176" fontId="17" fillId="0" borderId="0" xfId="1" applyFont="1" applyAlignment="1">
      <alignment vertical="center" wrapText="1"/>
    </xf>
    <xf numFmtId="179" fontId="13" fillId="0" borderId="0" xfId="58" applyNumberFormat="1" applyFont="1" applyFill="1" applyBorder="1" applyAlignment="1" applyProtection="1">
      <alignment horizontal="center" vertical="center"/>
    </xf>
    <xf numFmtId="179" fontId="13" fillId="0" borderId="2" xfId="58" applyNumberFormat="1" applyFont="1" applyFill="1" applyBorder="1" applyAlignment="1" applyProtection="1">
      <alignment horizontal="center" vertical="center"/>
    </xf>
    <xf numFmtId="179" fontId="13" fillId="0" borderId="2" xfId="58" applyNumberFormat="1" applyFont="1" applyFill="1" applyBorder="1" applyAlignment="1" applyProtection="1">
      <alignment horizontal="right" vertical="center"/>
    </xf>
    <xf numFmtId="178" fontId="10" fillId="4" borderId="2" xfId="68" applyNumberFormat="1" applyFont="1" applyFill="1" applyBorder="1" applyAlignment="1">
      <alignment vertical="center"/>
    </xf>
    <xf numFmtId="3" fontId="10" fillId="0" borderId="2" xfId="68" applyNumberFormat="1" applyFont="1" applyBorder="1" applyAlignment="1">
      <alignment vertical="center"/>
    </xf>
    <xf numFmtId="178" fontId="10" fillId="0" borderId="2" xfId="1" applyNumberFormat="1" applyFont="1" applyBorder="1" applyAlignment="1">
      <alignment vertical="center"/>
    </xf>
    <xf numFmtId="178" fontId="10" fillId="0" borderId="5" xfId="1" applyNumberFormat="1" applyFont="1" applyBorder="1" applyAlignment="1">
      <alignment vertical="center"/>
    </xf>
    <xf numFmtId="179" fontId="13" fillId="4" borderId="2" xfId="58" applyNumberFormat="1" applyFont="1" applyFill="1" applyBorder="1" applyAlignment="1" applyProtection="1">
      <alignment horizontal="center" vertical="center"/>
    </xf>
    <xf numFmtId="179" fontId="13" fillId="4" borderId="2" xfId="58" applyNumberFormat="1" applyFont="1" applyFill="1" applyBorder="1" applyAlignment="1" applyProtection="1">
      <alignment horizontal="right" vertical="center"/>
    </xf>
    <xf numFmtId="0" fontId="13" fillId="0" borderId="2" xfId="68" applyFont="1" applyBorder="1" applyAlignment="1">
      <alignment horizontal="right" vertical="center"/>
    </xf>
    <xf numFmtId="0" fontId="10" fillId="4" borderId="2" xfId="68" applyFont="1" applyFill="1" applyBorder="1" applyAlignment="1">
      <alignment vertical="center"/>
    </xf>
    <xf numFmtId="179" fontId="10" fillId="0" borderId="2" xfId="68" applyNumberFormat="1" applyFont="1" applyBorder="1" applyAlignment="1">
      <alignment vertical="center"/>
    </xf>
    <xf numFmtId="176" fontId="10" fillId="0" borderId="2" xfId="58" applyFont="1" applyBorder="1" applyAlignment="1">
      <alignment vertical="center"/>
    </xf>
    <xf numFmtId="43" fontId="13" fillId="0" borderId="0" xfId="68" applyNumberFormat="1" applyFont="1" applyAlignment="1">
      <alignment vertical="center"/>
    </xf>
    <xf numFmtId="176" fontId="10" fillId="0" borderId="0" xfId="1" applyFont="1" applyAlignment="1">
      <alignment vertical="center"/>
    </xf>
    <xf numFmtId="180" fontId="13" fillId="0" borderId="0" xfId="68" applyNumberFormat="1" applyFont="1" applyAlignment="1">
      <alignment vertical="center"/>
    </xf>
    <xf numFmtId="178" fontId="10" fillId="0" borderId="0" xfId="68" applyNumberFormat="1" applyFont="1" applyAlignment="1">
      <alignment vertical="center"/>
    </xf>
    <xf numFmtId="9" fontId="10" fillId="0" borderId="0" xfId="3" applyFont="1" applyAlignment="1">
      <alignment vertical="center"/>
    </xf>
    <xf numFmtId="0" fontId="12" fillId="7" borderId="0" xfId="0" applyFont="1" applyFill="1" applyAlignment="1">
      <alignment vertical="center"/>
    </xf>
    <xf numFmtId="176" fontId="12" fillId="0" borderId="0" xfId="1" applyFont="1" applyAlignment="1">
      <alignment vertical="center" wrapText="1"/>
    </xf>
    <xf numFmtId="176" fontId="12" fillId="0" borderId="0" xfId="1" applyFont="1" applyAlignment="1">
      <alignment horizontal="center" vertical="center" wrapText="1"/>
    </xf>
    <xf numFmtId="176" fontId="12" fillId="5" borderId="0" xfId="1" applyFont="1" applyFill="1" applyAlignment="1">
      <alignment vertical="center"/>
    </xf>
    <xf numFmtId="181" fontId="12" fillId="0" borderId="0" xfId="1" applyNumberFormat="1" applyFont="1" applyAlignment="1">
      <alignment vertical="center"/>
    </xf>
    <xf numFmtId="0" fontId="12" fillId="0" borderId="0" xfId="0" applyFont="1" applyAlignment="1">
      <alignment vertical="center"/>
    </xf>
    <xf numFmtId="178" fontId="12" fillId="0" borderId="0" xfId="0" applyNumberFormat="1" applyFont="1" applyAlignment="1">
      <alignment vertical="center"/>
    </xf>
    <xf numFmtId="176" fontId="15" fillId="16" borderId="3" xfId="1" applyFont="1" applyFill="1" applyBorder="1" applyAlignment="1">
      <alignment horizontal="centerContinuous" vertical="center"/>
    </xf>
    <xf numFmtId="0" fontId="12" fillId="16" borderId="0" xfId="0" applyFont="1" applyFill="1" applyAlignment="1">
      <alignment horizontal="centerContinuous" vertical="center"/>
    </xf>
    <xf numFmtId="176" fontId="15" fillId="16" borderId="0" xfId="1" applyFont="1" applyFill="1" applyBorder="1" applyAlignment="1">
      <alignment horizontal="centerContinuous" vertical="center"/>
    </xf>
    <xf numFmtId="178" fontId="15" fillId="16" borderId="0" xfId="1" applyNumberFormat="1" applyFont="1" applyFill="1" applyBorder="1" applyAlignment="1">
      <alignment horizontal="centerContinuous" vertical="center"/>
    </xf>
    <xf numFmtId="176" fontId="15" fillId="3" borderId="3" xfId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76" fontId="15" fillId="3" borderId="0" xfId="1" applyFont="1" applyFill="1" applyBorder="1" applyAlignment="1">
      <alignment horizontal="centerContinuous" vertical="center"/>
    </xf>
    <xf numFmtId="178" fontId="15" fillId="3" borderId="0" xfId="1" applyNumberFormat="1" applyFont="1" applyFill="1" applyBorder="1" applyAlignment="1">
      <alignment horizontal="centerContinuous" vertical="center"/>
    </xf>
    <xf numFmtId="176" fontId="15" fillId="17" borderId="10" xfId="1" applyFont="1" applyFill="1" applyBorder="1" applyAlignment="1">
      <alignment horizontal="centerContinuous" vertical="center"/>
    </xf>
    <xf numFmtId="176" fontId="15" fillId="17" borderId="1" xfId="1" applyFont="1" applyFill="1" applyBorder="1" applyAlignment="1">
      <alignment horizontal="centerContinuous" vertical="center"/>
    </xf>
    <xf numFmtId="178" fontId="15" fillId="17" borderId="1" xfId="1" applyNumberFormat="1" applyFont="1" applyFill="1" applyBorder="1" applyAlignment="1">
      <alignment horizontal="centerContinuous" vertical="center"/>
    </xf>
    <xf numFmtId="176" fontId="15" fillId="2" borderId="2" xfId="1" applyFont="1" applyFill="1" applyBorder="1" applyAlignment="1">
      <alignment horizontal="center" vertical="center" wrapText="1"/>
    </xf>
    <xf numFmtId="176" fontId="15" fillId="2" borderId="4" xfId="1" applyFont="1" applyFill="1" applyBorder="1" applyAlignment="1">
      <alignment horizontal="center" vertical="center" wrapText="1"/>
    </xf>
    <xf numFmtId="178" fontId="15" fillId="2" borderId="4" xfId="1" applyNumberFormat="1" applyFont="1" applyFill="1" applyBorder="1" applyAlignment="1">
      <alignment horizontal="center" vertical="center" wrapText="1"/>
    </xf>
    <xf numFmtId="176" fontId="15" fillId="4" borderId="2" xfId="1" applyFont="1" applyFill="1" applyBorder="1" applyAlignment="1">
      <alignment horizontal="center" vertical="center" wrapText="1"/>
    </xf>
    <xf numFmtId="176" fontId="15" fillId="2" borderId="5" xfId="1" applyFont="1" applyFill="1" applyBorder="1" applyAlignment="1">
      <alignment horizontal="center" vertical="center" wrapText="1"/>
    </xf>
    <xf numFmtId="178" fontId="15" fillId="2" borderId="5" xfId="1" applyNumberFormat="1" applyFont="1" applyFill="1" applyBorder="1" applyAlignment="1">
      <alignment horizontal="center" vertical="center" wrapText="1"/>
    </xf>
    <xf numFmtId="176" fontId="12" fillId="4" borderId="2" xfId="1" applyFont="1" applyFill="1" applyBorder="1" applyAlignment="1">
      <alignment horizontal="center" vertical="center" wrapText="1"/>
    </xf>
    <xf numFmtId="176" fontId="12" fillId="4" borderId="2" xfId="1" applyFont="1" applyFill="1" applyBorder="1" applyAlignment="1">
      <alignment horizontal="left" vertical="center" wrapText="1"/>
    </xf>
    <xf numFmtId="178" fontId="12" fillId="5" borderId="2" xfId="1" applyNumberFormat="1" applyFont="1" applyFill="1" applyBorder="1" applyAlignment="1">
      <alignment vertical="center"/>
    </xf>
    <xf numFmtId="178" fontId="12" fillId="4" borderId="2" xfId="1" applyNumberFormat="1" applyFont="1" applyFill="1" applyBorder="1" applyAlignment="1">
      <alignment vertical="center"/>
    </xf>
    <xf numFmtId="179" fontId="12" fillId="18" borderId="2" xfId="0" applyNumberFormat="1" applyFont="1" applyFill="1" applyBorder="1" applyAlignment="1">
      <alignment vertical="center"/>
    </xf>
    <xf numFmtId="178" fontId="12" fillId="4" borderId="2" xfId="0" applyNumberFormat="1" applyFont="1" applyFill="1" applyBorder="1" applyAlignment="1">
      <alignment vertical="center"/>
    </xf>
    <xf numFmtId="176" fontId="15" fillId="8" borderId="2" xfId="1" applyFont="1" applyFill="1" applyBorder="1" applyAlignment="1">
      <alignment horizontal="center" vertical="center"/>
    </xf>
    <xf numFmtId="178" fontId="15" fillId="8" borderId="2" xfId="1" applyNumberFormat="1" applyFont="1" applyFill="1" applyBorder="1" applyAlignment="1">
      <alignment horizontal="center" vertical="center"/>
    </xf>
    <xf numFmtId="176" fontId="12" fillId="4" borderId="6" xfId="1" applyFont="1" applyFill="1" applyBorder="1" applyAlignment="1">
      <alignment horizontal="center" vertical="center"/>
    </xf>
    <xf numFmtId="176" fontId="12" fillId="4" borderId="8" xfId="1" applyFont="1" applyFill="1" applyBorder="1" applyAlignment="1">
      <alignment horizontal="center" vertical="center"/>
    </xf>
    <xf numFmtId="181" fontId="12" fillId="4" borderId="2" xfId="1" applyNumberFormat="1" applyFont="1" applyFill="1" applyBorder="1" applyAlignment="1">
      <alignment vertical="center"/>
    </xf>
    <xf numFmtId="179" fontId="12" fillId="0" borderId="2" xfId="0" applyNumberFormat="1" applyFont="1" applyBorder="1" applyAlignment="1">
      <alignment vertical="center"/>
    </xf>
    <xf numFmtId="178" fontId="12" fillId="0" borderId="2" xfId="0" applyNumberFormat="1" applyFont="1" applyBorder="1" applyAlignment="1">
      <alignment vertical="center"/>
    </xf>
    <xf numFmtId="176" fontId="15" fillId="8" borderId="6" xfId="1" applyFont="1" applyFill="1" applyBorder="1" applyAlignment="1">
      <alignment vertical="center"/>
    </xf>
    <xf numFmtId="176" fontId="15" fillId="9" borderId="0" xfId="1" applyFont="1" applyFill="1" applyAlignment="1">
      <alignment horizontal="centerContinuous" vertical="center" wrapText="1"/>
    </xf>
    <xf numFmtId="176" fontId="15" fillId="9" borderId="8" xfId="1" applyFont="1" applyFill="1" applyBorder="1" applyAlignment="1">
      <alignment horizontal="centerContinuous" vertical="center"/>
    </xf>
    <xf numFmtId="178" fontId="15" fillId="9" borderId="8" xfId="1" applyNumberFormat="1" applyFont="1" applyFill="1" applyBorder="1" applyAlignment="1">
      <alignment horizontal="centerContinuous" vertical="center"/>
    </xf>
    <xf numFmtId="176" fontId="12" fillId="0" borderId="2" xfId="1" applyFont="1" applyBorder="1" applyAlignment="1">
      <alignment horizontal="center" vertical="center" wrapText="1"/>
    </xf>
    <xf numFmtId="176" fontId="15" fillId="0" borderId="2" xfId="1" applyFont="1" applyFill="1" applyBorder="1" applyAlignment="1" applyProtection="1">
      <alignment horizontal="center" vertical="center" wrapText="1"/>
    </xf>
    <xf numFmtId="1" fontId="15" fillId="0" borderId="2" xfId="1" applyNumberFormat="1" applyFont="1" applyFill="1" applyBorder="1" applyAlignment="1" applyProtection="1">
      <alignment horizontal="center" vertical="center" wrapText="1"/>
    </xf>
    <xf numFmtId="176" fontId="12" fillId="0" borderId="2" xfId="1" applyFont="1" applyFill="1" applyBorder="1" applyAlignment="1" applyProtection="1">
      <alignment horizontal="left" vertical="center" wrapText="1"/>
    </xf>
    <xf numFmtId="178" fontId="12" fillId="0" borderId="2" xfId="1" applyNumberFormat="1" applyFont="1" applyFill="1" applyBorder="1" applyAlignment="1" applyProtection="1">
      <alignment vertical="center" wrapText="1"/>
      <protection locked="0"/>
    </xf>
    <xf numFmtId="181" fontId="12" fillId="18" borderId="2" xfId="1" applyNumberFormat="1" applyFont="1" applyFill="1" applyBorder="1" applyAlignment="1">
      <alignment vertical="center"/>
    </xf>
    <xf numFmtId="1" fontId="18" fillId="0" borderId="2" xfId="1" applyNumberFormat="1" applyFont="1" applyFill="1" applyBorder="1" applyAlignment="1" applyProtection="1">
      <alignment horizontal="center" vertical="center" wrapText="1"/>
    </xf>
    <xf numFmtId="0" fontId="12" fillId="3" borderId="0" xfId="0" applyFont="1" applyFill="1" applyAlignment="1">
      <alignment horizontal="centerContinuous" vertical="center"/>
    </xf>
    <xf numFmtId="0" fontId="12" fillId="12" borderId="0" xfId="0" applyFont="1" applyFill="1" applyAlignment="1">
      <alignment horizontal="centerContinuous" vertical="center"/>
    </xf>
    <xf numFmtId="0" fontId="15" fillId="16" borderId="2" xfId="0" applyFont="1" applyFill="1" applyBorder="1" applyAlignment="1">
      <alignment horizontal="center" vertical="center"/>
    </xf>
    <xf numFmtId="0" fontId="15" fillId="16" borderId="6" xfId="0" applyFont="1" applyFill="1" applyBorder="1" applyAlignment="1">
      <alignment horizontal="center" vertical="center"/>
    </xf>
    <xf numFmtId="179" fontId="12" fillId="0" borderId="6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178" fontId="12" fillId="0" borderId="0" xfId="1" applyNumberFormat="1" applyFont="1" applyAlignment="1">
      <alignment vertical="center"/>
    </xf>
    <xf numFmtId="182" fontId="12" fillId="0" borderId="0" xfId="0" applyNumberFormat="1" applyFont="1" applyAlignment="1">
      <alignment vertical="center"/>
    </xf>
    <xf numFmtId="178" fontId="15" fillId="9" borderId="6" xfId="1" applyNumberFormat="1" applyFont="1" applyFill="1" applyBorder="1" applyAlignment="1">
      <alignment horizontal="center" vertical="center"/>
    </xf>
    <xf numFmtId="178" fontId="15" fillId="9" borderId="2" xfId="1" applyNumberFormat="1" applyFont="1" applyFill="1" applyBorder="1" applyAlignment="1">
      <alignment horizontal="center" vertical="center"/>
    </xf>
    <xf numFmtId="179" fontId="15" fillId="9" borderId="2" xfId="0" applyNumberFormat="1" applyFont="1" applyFill="1" applyBorder="1" applyAlignment="1">
      <alignment horizontal="centerContinuous" vertical="center"/>
    </xf>
    <xf numFmtId="176" fontId="12" fillId="0" borderId="0" xfId="1" applyFont="1" applyAlignment="1">
      <alignment vertical="center"/>
    </xf>
    <xf numFmtId="43" fontId="12" fillId="0" borderId="0" xfId="0" applyNumberFormat="1" applyFont="1" applyAlignment="1">
      <alignment vertical="center"/>
    </xf>
    <xf numFmtId="176" fontId="12" fillId="0" borderId="2" xfId="1" applyFont="1" applyFill="1" applyBorder="1" applyAlignment="1" applyProtection="1">
      <alignment vertical="center" wrapText="1"/>
    </xf>
    <xf numFmtId="179" fontId="12" fillId="0" borderId="2" xfId="1" applyNumberFormat="1" applyFont="1" applyFill="1" applyBorder="1" applyAlignment="1" applyProtection="1">
      <alignment horizontal="left" vertical="center" wrapText="1"/>
    </xf>
    <xf numFmtId="179" fontId="12" fillId="0" borderId="2" xfId="1" applyNumberFormat="1" applyFont="1" applyFill="1" applyBorder="1" applyAlignment="1" applyProtection="1">
      <alignment vertical="center" wrapText="1"/>
    </xf>
    <xf numFmtId="176" fontId="15" fillId="11" borderId="2" xfId="1" applyFont="1" applyFill="1" applyBorder="1" applyAlignment="1" applyProtection="1">
      <alignment horizontal="center" vertical="center"/>
    </xf>
    <xf numFmtId="178" fontId="15" fillId="11" borderId="2" xfId="1" applyNumberFormat="1" applyFont="1" applyFill="1" applyBorder="1" applyAlignment="1" applyProtection="1">
      <alignment horizontal="left" vertical="center"/>
    </xf>
    <xf numFmtId="181" fontId="15" fillId="4" borderId="6" xfId="1" applyNumberFormat="1" applyFont="1" applyFill="1" applyBorder="1" applyAlignment="1" applyProtection="1">
      <alignment horizontal="left" vertical="center"/>
    </xf>
    <xf numFmtId="178" fontId="15" fillId="12" borderId="6" xfId="1" applyNumberFormat="1" applyFont="1" applyFill="1" applyBorder="1" applyAlignment="1" applyProtection="1">
      <alignment horizontal="left" vertical="center"/>
    </xf>
    <xf numFmtId="176" fontId="12" fillId="0" borderId="2" xfId="1" applyFont="1" applyBorder="1" applyAlignment="1">
      <alignment vertical="center" wrapText="1"/>
    </xf>
    <xf numFmtId="176" fontId="12" fillId="0" borderId="6" xfId="1" applyFont="1" applyBorder="1" applyAlignment="1">
      <alignment horizontal="center" vertical="center" wrapText="1"/>
    </xf>
    <xf numFmtId="176" fontId="12" fillId="0" borderId="8" xfId="1" applyFont="1" applyBorder="1" applyAlignment="1">
      <alignment horizontal="center" vertical="center" wrapText="1"/>
    </xf>
    <xf numFmtId="176" fontId="15" fillId="8" borderId="6" xfId="1" applyFont="1" applyFill="1" applyBorder="1" applyAlignment="1">
      <alignment horizontal="centerContinuous" vertical="center"/>
    </xf>
    <xf numFmtId="176" fontId="15" fillId="8" borderId="8" xfId="1" applyFont="1" applyFill="1" applyBorder="1" applyAlignment="1">
      <alignment horizontal="centerContinuous" vertical="center"/>
    </xf>
    <xf numFmtId="178" fontId="15" fillId="8" borderId="8" xfId="1" applyNumberFormat="1" applyFont="1" applyFill="1" applyBorder="1" applyAlignment="1">
      <alignment horizontal="centerContinuous" vertical="center"/>
    </xf>
    <xf numFmtId="176" fontId="15" fillId="4" borderId="2" xfId="1" applyFont="1" applyFill="1" applyBorder="1" applyAlignment="1" applyProtection="1">
      <alignment horizontal="center" vertical="center" wrapText="1"/>
    </xf>
    <xf numFmtId="176" fontId="12" fillId="4" borderId="2" xfId="1" applyFont="1" applyFill="1" applyBorder="1" applyAlignment="1" applyProtection="1">
      <alignment horizontal="left" vertical="center" wrapText="1"/>
    </xf>
    <xf numFmtId="176" fontId="12" fillId="4" borderId="2" xfId="1" applyFont="1" applyFill="1" applyBorder="1" applyAlignment="1" applyProtection="1">
      <alignment vertical="center" wrapText="1"/>
    </xf>
    <xf numFmtId="178" fontId="12" fillId="5" borderId="2" xfId="1" applyNumberFormat="1" applyFont="1" applyFill="1" applyBorder="1" applyAlignment="1" applyProtection="1">
      <alignment vertical="center" wrapText="1"/>
      <protection locked="0"/>
    </xf>
    <xf numFmtId="178" fontId="15" fillId="12" borderId="2" xfId="1" applyNumberFormat="1" applyFont="1" applyFill="1" applyBorder="1" applyAlignment="1" applyProtection="1">
      <alignment horizontal="left" vertical="center"/>
    </xf>
    <xf numFmtId="179" fontId="12" fillId="9" borderId="2" xfId="0" applyNumberFormat="1" applyFont="1" applyFill="1" applyBorder="1" applyAlignment="1">
      <alignment horizontal="centerContinuous" vertical="center"/>
    </xf>
    <xf numFmtId="176" fontId="15" fillId="4" borderId="4" xfId="1" applyFont="1" applyFill="1" applyBorder="1" applyAlignment="1" applyProtection="1">
      <alignment horizontal="center" vertical="center" wrapText="1"/>
    </xf>
    <xf numFmtId="176" fontId="15" fillId="4" borderId="7" xfId="1" applyFont="1" applyFill="1" applyBorder="1" applyAlignment="1" applyProtection="1">
      <alignment horizontal="center" vertical="center" wrapText="1"/>
    </xf>
    <xf numFmtId="176" fontId="15" fillId="4" borderId="5" xfId="1" applyFont="1" applyFill="1" applyBorder="1" applyAlignment="1" applyProtection="1">
      <alignment horizontal="center" vertical="center" wrapText="1"/>
    </xf>
    <xf numFmtId="176" fontId="15" fillId="17" borderId="2" xfId="1" applyFont="1" applyFill="1" applyBorder="1" applyAlignment="1" applyProtection="1">
      <alignment horizontal="center" vertical="center"/>
    </xf>
    <xf numFmtId="178" fontId="15" fillId="17" borderId="2" xfId="1" applyNumberFormat="1" applyFont="1" applyFill="1" applyBorder="1" applyAlignment="1" applyProtection="1">
      <alignment horizontal="left" vertical="center"/>
    </xf>
    <xf numFmtId="181" fontId="15" fillId="17" borderId="6" xfId="1" applyNumberFormat="1" applyFont="1" applyFill="1" applyBorder="1" applyAlignment="1" applyProtection="1">
      <alignment horizontal="left" vertical="center"/>
    </xf>
    <xf numFmtId="178" fontId="15" fillId="17" borderId="6" xfId="1" applyNumberFormat="1" applyFont="1" applyFill="1" applyBorder="1" applyAlignment="1" applyProtection="1">
      <alignment horizontal="left" vertical="center"/>
    </xf>
    <xf numFmtId="178" fontId="15" fillId="8" borderId="9" xfId="1" applyNumberFormat="1" applyFont="1" applyFill="1" applyBorder="1" applyAlignment="1">
      <alignment horizontal="centerContinuous" vertical="center"/>
    </xf>
    <xf numFmtId="178" fontId="15" fillId="18" borderId="6" xfId="1" applyNumberFormat="1" applyFont="1" applyFill="1" applyBorder="1" applyAlignment="1" applyProtection="1">
      <alignment horizontal="left" vertical="center"/>
    </xf>
    <xf numFmtId="178" fontId="15" fillId="19" borderId="6" xfId="1" applyNumberFormat="1" applyFont="1" applyFill="1" applyBorder="1" applyAlignment="1" applyProtection="1">
      <alignment horizontal="left" vertical="center"/>
    </xf>
    <xf numFmtId="176" fontId="12" fillId="0" borderId="6" xfId="1" applyFont="1" applyBorder="1" applyAlignment="1">
      <alignment horizontal="center" vertical="center"/>
    </xf>
    <xf numFmtId="176" fontId="12" fillId="0" borderId="8" xfId="1" applyFont="1" applyBorder="1" applyAlignment="1">
      <alignment horizontal="center" vertical="center"/>
    </xf>
    <xf numFmtId="176" fontId="15" fillId="8" borderId="6" xfId="1" applyFont="1" applyFill="1" applyBorder="1" applyAlignment="1">
      <alignment horizontal="center" vertical="center"/>
    </xf>
    <xf numFmtId="176" fontId="15" fillId="8" borderId="8" xfId="1" applyFont="1" applyFill="1" applyBorder="1" applyAlignment="1">
      <alignment horizontal="center" vertical="center"/>
    </xf>
    <xf numFmtId="178" fontId="12" fillId="5" borderId="2" xfId="1" applyNumberFormat="1" applyFont="1" applyFill="1" applyBorder="1" applyAlignment="1">
      <alignment vertical="center" wrapText="1"/>
    </xf>
    <xf numFmtId="178" fontId="15" fillId="0" borderId="6" xfId="1" applyNumberFormat="1" applyFont="1" applyFill="1" applyBorder="1" applyAlignment="1" applyProtection="1">
      <alignment horizontal="left" vertical="center"/>
    </xf>
    <xf numFmtId="178" fontId="12" fillId="19" borderId="2" xfId="0" applyNumberFormat="1" applyFont="1" applyFill="1" applyBorder="1" applyAlignment="1">
      <alignment vertical="center"/>
    </xf>
    <xf numFmtId="178" fontId="15" fillId="19" borderId="2" xfId="1" applyNumberFormat="1" applyFont="1" applyFill="1" applyBorder="1" applyAlignment="1" applyProtection="1">
      <alignment horizontal="left" vertical="center"/>
    </xf>
    <xf numFmtId="179" fontId="12" fillId="9" borderId="2" xfId="0" applyNumberFormat="1" applyFont="1" applyFill="1" applyBorder="1" applyAlignment="1">
      <alignment vertical="center"/>
    </xf>
    <xf numFmtId="179" fontId="12" fillId="19" borderId="2" xfId="0" applyNumberFormat="1" applyFont="1" applyFill="1" applyBorder="1" applyAlignment="1">
      <alignment vertical="center"/>
    </xf>
    <xf numFmtId="176" fontId="15" fillId="20" borderId="2" xfId="1" applyFont="1" applyFill="1" applyBorder="1" applyAlignment="1" applyProtection="1">
      <alignment horizontal="center" vertical="center"/>
    </xf>
    <xf numFmtId="178" fontId="15" fillId="20" borderId="2" xfId="1" applyNumberFormat="1" applyFont="1" applyFill="1" applyBorder="1" applyAlignment="1" applyProtection="1">
      <alignment horizontal="left" vertical="center"/>
    </xf>
    <xf numFmtId="181" fontId="15" fillId="20" borderId="6" xfId="1" applyNumberFormat="1" applyFont="1" applyFill="1" applyBorder="1" applyAlignment="1" applyProtection="1">
      <alignment horizontal="left" vertical="center"/>
    </xf>
    <xf numFmtId="178" fontId="15" fillId="20" borderId="6" xfId="1" applyNumberFormat="1" applyFont="1" applyFill="1" applyBorder="1" applyAlignment="1" applyProtection="1">
      <alignment horizontal="left" vertical="center"/>
    </xf>
    <xf numFmtId="178" fontId="12" fillId="5" borderId="2" xfId="1" applyNumberFormat="1" applyFont="1" applyFill="1" applyBorder="1" applyAlignment="1">
      <alignment horizontal="center" vertical="center"/>
    </xf>
    <xf numFmtId="178" fontId="12" fillId="0" borderId="2" xfId="1" applyNumberFormat="1" applyFont="1" applyFill="1" applyBorder="1" applyAlignment="1">
      <alignment vertical="center"/>
    </xf>
    <xf numFmtId="178" fontId="12" fillId="5" borderId="2" xfId="1" applyNumberFormat="1" applyFont="1" applyFill="1" applyBorder="1" applyAlignment="1" applyProtection="1">
      <alignment vertical="center"/>
    </xf>
    <xf numFmtId="176" fontId="15" fillId="11" borderId="2" xfId="1" applyFont="1" applyFill="1" applyBorder="1" applyAlignment="1" applyProtection="1">
      <alignment horizontal="centerContinuous" vertical="center"/>
    </xf>
    <xf numFmtId="181" fontId="12" fillId="4" borderId="2" xfId="1" applyNumberFormat="1" applyFont="1" applyFill="1" applyBorder="1" applyAlignment="1">
      <alignment horizontal="centerContinuous" vertical="center"/>
    </xf>
    <xf numFmtId="178" fontId="12" fillId="9" borderId="2" xfId="0" applyNumberFormat="1" applyFont="1" applyFill="1" applyBorder="1" applyAlignment="1">
      <alignment horizontal="centerContinuous" vertical="center"/>
    </xf>
    <xf numFmtId="1" fontId="15" fillId="4" borderId="2" xfId="1" applyNumberFormat="1" applyFont="1" applyFill="1" applyBorder="1" applyAlignment="1" applyProtection="1">
      <alignment horizontal="center" vertical="center" wrapText="1"/>
    </xf>
    <xf numFmtId="176" fontId="19" fillId="4" borderId="2" xfId="1" applyFont="1" applyFill="1" applyBorder="1" applyAlignment="1" applyProtection="1">
      <alignment horizontal="left" vertical="center" wrapText="1"/>
    </xf>
    <xf numFmtId="178" fontId="19" fillId="0" borderId="2" xfId="0" applyNumberFormat="1" applyFont="1" applyBorder="1" applyAlignment="1">
      <alignment vertical="center"/>
    </xf>
    <xf numFmtId="176" fontId="12" fillId="0" borderId="2" xfId="1" applyFont="1" applyBorder="1" applyAlignment="1">
      <alignment vertical="center"/>
    </xf>
    <xf numFmtId="176" fontId="15" fillId="8" borderId="6" xfId="1" applyFont="1" applyFill="1" applyBorder="1" applyAlignment="1">
      <alignment horizontal="center" vertical="center" wrapText="1"/>
    </xf>
    <xf numFmtId="176" fontId="15" fillId="8" borderId="8" xfId="1" applyFont="1" applyFill="1" applyBorder="1" applyAlignment="1">
      <alignment horizontal="centerContinuous" vertical="center" wrapText="1"/>
    </xf>
    <xf numFmtId="178" fontId="15" fillId="8" borderId="8" xfId="1" applyNumberFormat="1" applyFont="1" applyFill="1" applyBorder="1" applyAlignment="1">
      <alignment horizontal="centerContinuous" vertical="center" wrapText="1"/>
    </xf>
    <xf numFmtId="176" fontId="12" fillId="4" borderId="2" xfId="1" applyFont="1" applyFill="1" applyBorder="1" applyAlignment="1" applyProtection="1">
      <alignment horizontal="center" vertical="center" wrapText="1"/>
      <protection locked="0"/>
    </xf>
    <xf numFmtId="176" fontId="12" fillId="4" borderId="2" xfId="1" applyFont="1" applyFill="1" applyBorder="1" applyAlignment="1">
      <alignment vertical="center" wrapText="1"/>
    </xf>
    <xf numFmtId="178" fontId="12" fillId="5" borderId="2" xfId="1" applyNumberFormat="1" applyFont="1" applyFill="1" applyBorder="1" applyAlignment="1" applyProtection="1">
      <alignment horizontal="left" vertical="center"/>
    </xf>
    <xf numFmtId="178" fontId="12" fillId="0" borderId="2" xfId="0" applyNumberFormat="1" applyFont="1" applyBorder="1" applyAlignment="1">
      <alignment vertical="top"/>
    </xf>
    <xf numFmtId="176" fontId="15" fillId="4" borderId="4" xfId="1" applyFont="1" applyFill="1" applyBorder="1" applyAlignment="1" applyProtection="1">
      <alignment horizontal="center" vertical="center" wrapText="1"/>
      <protection locked="0"/>
    </xf>
    <xf numFmtId="176" fontId="15" fillId="4" borderId="7" xfId="1" applyFont="1" applyFill="1" applyBorder="1" applyAlignment="1" applyProtection="1">
      <alignment horizontal="center" vertical="center" wrapText="1"/>
      <protection locked="0"/>
    </xf>
    <xf numFmtId="176" fontId="15" fillId="4" borderId="5" xfId="1" applyFont="1" applyFill="1" applyBorder="1" applyAlignment="1" applyProtection="1">
      <alignment horizontal="center" vertical="center" wrapText="1"/>
      <protection locked="0"/>
    </xf>
    <xf numFmtId="176" fontId="15" fillId="20" borderId="6" xfId="1" applyFont="1" applyFill="1" applyBorder="1" applyAlignment="1" applyProtection="1">
      <alignment horizontal="center" vertical="center"/>
    </xf>
    <xf numFmtId="176" fontId="15" fillId="20" borderId="8" xfId="1" applyFont="1" applyFill="1" applyBorder="1" applyAlignment="1" applyProtection="1">
      <alignment horizontal="center" vertical="center"/>
    </xf>
    <xf numFmtId="176" fontId="15" fillId="20" borderId="9" xfId="1" applyFont="1" applyFill="1" applyBorder="1" applyAlignment="1" applyProtection="1">
      <alignment horizontal="center" vertical="center"/>
    </xf>
    <xf numFmtId="178" fontId="19" fillId="5" borderId="2" xfId="1" applyNumberFormat="1" applyFont="1" applyFill="1" applyBorder="1" applyAlignment="1" applyProtection="1">
      <alignment vertical="center" wrapText="1"/>
      <protection locked="0"/>
    </xf>
    <xf numFmtId="181" fontId="19" fillId="4" borderId="2" xfId="1" applyNumberFormat="1" applyFont="1" applyFill="1" applyBorder="1" applyAlignment="1">
      <alignment vertical="center"/>
    </xf>
    <xf numFmtId="179" fontId="19" fillId="18" borderId="2" xfId="0" applyNumberFormat="1" applyFont="1" applyFill="1" applyBorder="1" applyAlignment="1">
      <alignment vertical="center"/>
    </xf>
    <xf numFmtId="178" fontId="12" fillId="5" borderId="2" xfId="1" applyNumberFormat="1" applyFont="1" applyFill="1" applyBorder="1" applyAlignment="1" applyProtection="1">
      <alignment vertical="center" wrapText="1"/>
    </xf>
    <xf numFmtId="176" fontId="12" fillId="11" borderId="2" xfId="1" applyFont="1" applyFill="1" applyBorder="1" applyAlignment="1">
      <alignment vertical="center" wrapText="1"/>
    </xf>
    <xf numFmtId="176" fontId="15" fillId="11" borderId="6" xfId="1" applyFont="1" applyFill="1" applyBorder="1" applyAlignment="1" applyProtection="1">
      <alignment horizontal="center" vertical="center"/>
    </xf>
    <xf numFmtId="176" fontId="15" fillId="11" borderId="8" xfId="1" applyFont="1" applyFill="1" applyBorder="1" applyAlignment="1" applyProtection="1">
      <alignment horizontal="center" vertical="center"/>
    </xf>
    <xf numFmtId="176" fontId="15" fillId="11" borderId="9" xfId="1" applyFont="1" applyFill="1" applyBorder="1" applyAlignment="1" applyProtection="1">
      <alignment horizontal="center" vertical="center"/>
    </xf>
    <xf numFmtId="178" fontId="15" fillId="11" borderId="2" xfId="1" applyNumberFormat="1" applyFont="1" applyFill="1" applyBorder="1" applyAlignment="1" applyProtection="1">
      <alignment horizontal="center" vertical="center"/>
    </xf>
    <xf numFmtId="176" fontId="15" fillId="3" borderId="6" xfId="1" applyFont="1" applyFill="1" applyBorder="1" applyAlignment="1">
      <alignment horizontal="center" vertical="center"/>
    </xf>
    <xf numFmtId="176" fontId="15" fillId="3" borderId="8" xfId="1" applyFont="1" applyFill="1" applyBorder="1" applyAlignment="1">
      <alignment horizontal="centerContinuous" vertical="center"/>
    </xf>
    <xf numFmtId="178" fontId="15" fillId="3" borderId="8" xfId="1" applyNumberFormat="1" applyFont="1" applyFill="1" applyBorder="1" applyAlignment="1">
      <alignment horizontal="centerContinuous" vertical="center"/>
    </xf>
    <xf numFmtId="1" fontId="15" fillId="4" borderId="2" xfId="1" applyNumberFormat="1" applyFont="1" applyFill="1" applyBorder="1" applyAlignment="1" applyProtection="1">
      <alignment horizontal="center" vertical="center" wrapText="1"/>
      <protection locked="0"/>
    </xf>
    <xf numFmtId="176" fontId="12" fillId="4" borderId="2" xfId="1" applyFont="1" applyFill="1" applyBorder="1" applyAlignment="1" applyProtection="1">
      <alignment horizontal="left" vertical="center" wrapText="1"/>
      <protection locked="0"/>
    </xf>
    <xf numFmtId="176" fontId="15" fillId="4" borderId="2" xfId="1" applyFont="1" applyFill="1" applyBorder="1" applyAlignment="1" applyProtection="1">
      <alignment horizontal="center" vertical="center" wrapText="1"/>
      <protection locked="0"/>
    </xf>
    <xf numFmtId="176" fontId="18" fillId="4" borderId="4" xfId="1" applyFont="1" applyFill="1" applyBorder="1" applyAlignment="1" applyProtection="1">
      <alignment horizontal="center" vertical="center" wrapText="1"/>
      <protection locked="0"/>
    </xf>
    <xf numFmtId="176" fontId="18" fillId="4" borderId="7" xfId="1" applyFont="1" applyFill="1" applyBorder="1" applyAlignment="1" applyProtection="1">
      <alignment horizontal="center" vertical="center" wrapText="1"/>
      <protection locked="0"/>
    </xf>
    <xf numFmtId="179" fontId="12" fillId="3" borderId="2" xfId="0" applyNumberFormat="1" applyFont="1" applyFill="1" applyBorder="1" applyAlignment="1">
      <alignment horizontal="centerContinuous" vertical="center"/>
    </xf>
    <xf numFmtId="176" fontId="12" fillId="4" borderId="6" xfId="1" applyFont="1" applyFill="1" applyBorder="1" applyAlignment="1">
      <alignment horizontal="center" vertical="center" wrapText="1"/>
    </xf>
    <xf numFmtId="176" fontId="12" fillId="4" borderId="8" xfId="1" applyFont="1" applyFill="1" applyBorder="1" applyAlignment="1">
      <alignment horizontal="center" vertical="center" wrapText="1"/>
    </xf>
    <xf numFmtId="176" fontId="15" fillId="0" borderId="6" xfId="1" applyFont="1" applyFill="1" applyBorder="1" applyAlignment="1">
      <alignment horizontal="center" vertical="center" wrapText="1"/>
    </xf>
    <xf numFmtId="0" fontId="15" fillId="0" borderId="4" xfId="69" applyFont="1" applyBorder="1" applyAlignment="1">
      <alignment horizontal="center" vertical="top" wrapText="1"/>
    </xf>
    <xf numFmtId="0" fontId="12" fillId="0" borderId="2" xfId="69" applyFont="1" applyBorder="1" applyAlignment="1">
      <alignment horizontal="center" vertical="top" wrapText="1"/>
    </xf>
    <xf numFmtId="176" fontId="12" fillId="0" borderId="2" xfId="52" applyFont="1" applyFill="1" applyBorder="1" applyAlignment="1" applyProtection="1">
      <alignment horizontal="left" vertical="top" wrapText="1"/>
    </xf>
    <xf numFmtId="176" fontId="15" fillId="8" borderId="8" xfId="1" applyFont="1" applyFill="1" applyBorder="1" applyAlignment="1">
      <alignment horizontal="center" vertical="center" wrapText="1"/>
    </xf>
    <xf numFmtId="176" fontId="15" fillId="18" borderId="8" xfId="1" applyFont="1" applyFill="1" applyBorder="1" applyAlignment="1">
      <alignment horizontal="center" vertical="center" wrapText="1"/>
    </xf>
    <xf numFmtId="178" fontId="12" fillId="0" borderId="2" xfId="69" applyNumberFormat="1" applyFont="1" applyBorder="1" applyAlignment="1">
      <alignment vertical="top"/>
    </xf>
    <xf numFmtId="0" fontId="15" fillId="0" borderId="7" xfId="69" applyFont="1" applyBorder="1" applyAlignment="1">
      <alignment horizontal="center" vertical="top" wrapText="1"/>
    </xf>
    <xf numFmtId="0" fontId="15" fillId="0" borderId="5" xfId="69" applyFont="1" applyBorder="1" applyAlignment="1">
      <alignment horizontal="center" vertical="top" wrapText="1"/>
    </xf>
    <xf numFmtId="0" fontId="19" fillId="0" borderId="2" xfId="69" applyFont="1" applyBorder="1" applyAlignment="1">
      <alignment horizontal="center" vertical="top" wrapText="1"/>
    </xf>
    <xf numFmtId="43" fontId="12" fillId="4" borderId="2" xfId="61" applyFont="1" applyFill="1" applyBorder="1" applyAlignment="1" applyProtection="1">
      <alignment horizontal="left" vertical="top" wrapText="1"/>
    </xf>
    <xf numFmtId="0" fontId="19" fillId="0" borderId="2" xfId="69" applyFont="1" applyBorder="1" applyAlignment="1">
      <alignment horizontal="center" vertical="top"/>
    </xf>
    <xf numFmtId="43" fontId="12" fillId="4" borderId="2" xfId="61" applyFont="1" applyFill="1" applyBorder="1" applyAlignment="1" applyProtection="1">
      <alignment horizontal="left" vertical="top" wrapText="1"/>
      <protection locked="0"/>
    </xf>
    <xf numFmtId="0" fontId="12" fillId="0" borderId="2" xfId="69" applyFont="1" applyBorder="1" applyAlignment="1">
      <alignment horizontal="center" vertical="top"/>
    </xf>
    <xf numFmtId="43" fontId="12" fillId="4" borderId="2" xfId="61" applyFont="1" applyFill="1" applyBorder="1" applyAlignment="1">
      <alignment horizontal="left" vertical="top" wrapText="1"/>
    </xf>
    <xf numFmtId="176" fontId="12" fillId="4" borderId="2" xfId="59" applyFont="1" applyFill="1" applyBorder="1" applyAlignment="1" applyProtection="1">
      <alignment horizontal="left" vertical="top" wrapText="1"/>
    </xf>
    <xf numFmtId="176" fontId="19" fillId="0" borderId="2" xfId="59" applyFont="1" applyFill="1" applyBorder="1" applyAlignment="1" applyProtection="1">
      <alignment horizontal="left" vertical="top" wrapText="1"/>
    </xf>
    <xf numFmtId="0" fontId="19" fillId="0" borderId="2" xfId="69" applyFont="1" applyBorder="1" applyAlignment="1">
      <alignment horizontal="left" vertical="top"/>
    </xf>
    <xf numFmtId="176" fontId="15" fillId="11" borderId="2" xfId="1" applyFont="1" applyFill="1" applyBorder="1" applyAlignment="1" applyProtection="1">
      <alignment horizontal="center" vertical="center" wrapText="1"/>
    </xf>
    <xf numFmtId="178" fontId="15" fillId="11" borderId="2" xfId="1" applyNumberFormat="1" applyFont="1" applyFill="1" applyBorder="1" applyAlignment="1" applyProtection="1">
      <alignment horizontal="center" vertical="center" wrapText="1"/>
    </xf>
    <xf numFmtId="176" fontId="12" fillId="0" borderId="2" xfId="1" applyFont="1" applyFill="1" applyBorder="1" applyAlignment="1" applyProtection="1">
      <alignment horizontal="left" vertical="center"/>
    </xf>
    <xf numFmtId="176" fontId="15" fillId="0" borderId="4" xfId="1" applyFont="1" applyFill="1" applyBorder="1" applyAlignment="1" applyProtection="1">
      <alignment horizontal="center" vertical="center" wrapText="1"/>
    </xf>
    <xf numFmtId="181" fontId="12" fillId="4" borderId="6" xfId="1" applyNumberFormat="1" applyFont="1" applyFill="1" applyBorder="1" applyAlignment="1">
      <alignment vertical="center"/>
    </xf>
    <xf numFmtId="179" fontId="12" fillId="18" borderId="6" xfId="0" applyNumberFormat="1" applyFont="1" applyFill="1" applyBorder="1" applyAlignment="1">
      <alignment vertical="center"/>
    </xf>
    <xf numFmtId="176" fontId="15" fillId="0" borderId="7" xfId="1" applyFont="1" applyFill="1" applyBorder="1" applyAlignment="1" applyProtection="1">
      <alignment horizontal="center" vertical="center" wrapText="1"/>
    </xf>
    <xf numFmtId="176" fontId="15" fillId="0" borderId="5" xfId="1" applyFont="1" applyFill="1" applyBorder="1" applyAlignment="1" applyProtection="1">
      <alignment horizontal="center" vertical="center" wrapText="1"/>
    </xf>
    <xf numFmtId="178" fontId="15" fillId="11" borderId="2" xfId="1" applyNumberFormat="1" applyFont="1" applyFill="1" applyBorder="1" applyAlignment="1">
      <alignment vertical="center"/>
    </xf>
    <xf numFmtId="181" fontId="15" fillId="4" borderId="6" xfId="1" applyNumberFormat="1" applyFont="1" applyFill="1" applyBorder="1" applyAlignment="1">
      <alignment vertical="center"/>
    </xf>
    <xf numFmtId="178" fontId="15" fillId="18" borderId="6" xfId="1" applyNumberFormat="1" applyFont="1" applyFill="1" applyBorder="1" applyAlignment="1">
      <alignment vertical="center"/>
    </xf>
    <xf numFmtId="176" fontId="15" fillId="9" borderId="6" xfId="1" applyFont="1" applyFill="1" applyBorder="1" applyAlignment="1" applyProtection="1">
      <alignment horizontal="center" vertical="center"/>
    </xf>
    <xf numFmtId="176" fontId="15" fillId="9" borderId="8" xfId="1" applyFont="1" applyFill="1" applyBorder="1" applyAlignment="1" applyProtection="1">
      <alignment horizontal="centerContinuous" vertical="center"/>
    </xf>
    <xf numFmtId="178" fontId="15" fillId="9" borderId="8" xfId="1" applyNumberFormat="1" applyFont="1" applyFill="1" applyBorder="1" applyAlignment="1" applyProtection="1">
      <alignment horizontal="centerContinuous" vertical="center"/>
    </xf>
    <xf numFmtId="176" fontId="12" fillId="4" borderId="2" xfId="1" applyFont="1" applyFill="1" applyBorder="1" applyAlignment="1" applyProtection="1">
      <alignment horizontal="left" vertical="center"/>
    </xf>
    <xf numFmtId="176" fontId="15" fillId="9" borderId="2" xfId="1" applyFont="1" applyFill="1" applyBorder="1" applyAlignment="1" applyProtection="1">
      <alignment horizontal="center" vertical="center" wrapText="1"/>
    </xf>
    <xf numFmtId="176" fontId="15" fillId="8" borderId="2" xfId="1" applyFont="1" applyFill="1" applyBorder="1" applyAlignment="1">
      <alignment horizontal="center" vertical="center" wrapText="1"/>
    </xf>
    <xf numFmtId="178" fontId="15" fillId="8" borderId="2" xfId="1" applyNumberFormat="1" applyFont="1" applyFill="1" applyBorder="1" applyAlignment="1">
      <alignment horizontal="center" vertical="center" wrapText="1"/>
    </xf>
    <xf numFmtId="176" fontId="15" fillId="0" borderId="6" xfId="1" applyFont="1" applyFill="1" applyBorder="1" applyAlignment="1" applyProtection="1">
      <alignment horizontal="center" vertical="center" wrapText="1"/>
    </xf>
    <xf numFmtId="176" fontId="15" fillId="0" borderId="8" xfId="1" applyFont="1" applyFill="1" applyBorder="1" applyAlignment="1">
      <alignment horizontal="center" vertical="center" wrapText="1"/>
    </xf>
    <xf numFmtId="178" fontId="15" fillId="0" borderId="8" xfId="1" applyNumberFormat="1" applyFont="1" applyFill="1" applyBorder="1" applyAlignment="1">
      <alignment horizontal="center" vertical="center" wrapText="1"/>
    </xf>
    <xf numFmtId="176" fontId="15" fillId="11" borderId="6" xfId="1" applyFont="1" applyFill="1" applyBorder="1" applyAlignment="1" applyProtection="1">
      <alignment horizontal="center" vertical="center" wrapText="1"/>
    </xf>
    <xf numFmtId="176" fontId="15" fillId="11" borderId="8" xfId="1" applyFont="1" applyFill="1" applyBorder="1" applyAlignment="1" applyProtection="1">
      <alignment horizontal="center" vertical="center" wrapText="1"/>
    </xf>
    <xf numFmtId="176" fontId="12" fillId="0" borderId="6" xfId="1" applyFont="1" applyBorder="1" applyAlignment="1">
      <alignment vertical="center" wrapText="1"/>
    </xf>
    <xf numFmtId="176" fontId="12" fillId="0" borderId="8" xfId="1" applyFont="1" applyBorder="1" applyAlignment="1">
      <alignment vertical="center" wrapText="1"/>
    </xf>
    <xf numFmtId="176" fontId="15" fillId="11" borderId="9" xfId="1" applyFont="1" applyFill="1" applyBorder="1" applyAlignment="1" applyProtection="1">
      <alignment horizontal="center" vertical="center" wrapText="1"/>
    </xf>
    <xf numFmtId="178" fontId="15" fillId="0" borderId="8" xfId="1" applyNumberFormat="1" applyFont="1" applyFill="1" applyBorder="1" applyAlignment="1">
      <alignment vertical="center"/>
    </xf>
    <xf numFmtId="181" fontId="15" fillId="0" borderId="6" xfId="1" applyNumberFormat="1" applyFont="1" applyFill="1" applyBorder="1" applyAlignment="1">
      <alignment vertical="center"/>
    </xf>
    <xf numFmtId="178" fontId="15" fillId="12" borderId="6" xfId="1" applyNumberFormat="1" applyFont="1" applyFill="1" applyBorder="1" applyAlignment="1">
      <alignment vertical="center"/>
    </xf>
    <xf numFmtId="176" fontId="15" fillId="4" borderId="0" xfId="1" applyFont="1" applyFill="1" applyBorder="1" applyAlignment="1">
      <alignment horizontal="center" vertical="center" wrapText="1"/>
    </xf>
    <xf numFmtId="176" fontId="12" fillId="4" borderId="0" xfId="1" applyFont="1" applyFill="1" applyAlignment="1">
      <alignment vertical="center"/>
    </xf>
    <xf numFmtId="176" fontId="15" fillId="0" borderId="0" xfId="1" applyFont="1" applyAlignment="1">
      <alignment horizontal="center" vertical="center" wrapText="1"/>
    </xf>
    <xf numFmtId="176" fontId="15" fillId="0" borderId="0" xfId="1" applyFont="1" applyAlignment="1">
      <alignment vertical="center" wrapText="1"/>
    </xf>
    <xf numFmtId="179" fontId="12" fillId="20" borderId="2" xfId="0" applyNumberFormat="1" applyFont="1" applyFill="1" applyBorder="1" applyAlignment="1">
      <alignment vertical="center"/>
    </xf>
    <xf numFmtId="0" fontId="12" fillId="0" borderId="0" xfId="0" applyFont="1"/>
    <xf numFmtId="4" fontId="12" fillId="0" borderId="0" xfId="0" applyNumberFormat="1" applyFont="1"/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vertical="center"/>
    </xf>
  </cellXfs>
  <cellStyles count="7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2 2" xfId="49"/>
    <cellStyle name="Comma 2" xfId="50"/>
    <cellStyle name="Comma 2 2" xfId="51"/>
    <cellStyle name="Comma 2 3" xfId="52"/>
    <cellStyle name="Comma 3" xfId="53"/>
    <cellStyle name="Comma 3 2" xfId="54"/>
    <cellStyle name="Comma 3 2 2" xfId="55"/>
    <cellStyle name="Comma 3 2 3" xfId="56"/>
    <cellStyle name="Comma 3 3" xfId="57"/>
    <cellStyle name="Comma 3 4" xfId="58"/>
    <cellStyle name="Comma 3 5" xfId="59"/>
    <cellStyle name="Comma 4" xfId="60"/>
    <cellStyle name="Comma 5" xfId="61"/>
    <cellStyle name="Good 2" xfId="62"/>
    <cellStyle name="Normal 2" xfId="63"/>
    <cellStyle name="Normal 3" xfId="64"/>
    <cellStyle name="Normal 4" xfId="65"/>
    <cellStyle name="Normal 4 2" xfId="66"/>
    <cellStyle name="Normal 5" xfId="67"/>
    <cellStyle name="Normal 6" xfId="68"/>
    <cellStyle name="Normal 7" xfId="69"/>
    <cellStyle name="Total 2" xfId="7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acha\OneDrive\Desktop\Budget%202025-2026\Proposed%20budget%202025-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enues"/>
      <sheetName val="Ceilings"/>
      <sheetName val="Reccurrent Supplementary Budget"/>
      <sheetName val="Development SupplementaryBudget"/>
      <sheetName val="Sheet2"/>
    </sheetNames>
    <sheetDataSet>
      <sheetData sheetId="0">
        <row r="7">
          <cell r="H7">
            <v>110729613</v>
          </cell>
        </row>
        <row r="14">
          <cell r="H14">
            <v>10918919</v>
          </cell>
        </row>
        <row r="17">
          <cell r="H17">
            <v>151515152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view="pageBreakPreview" zoomScale="90" zoomScalePageLayoutView="108" zoomScaleNormal="100" topLeftCell="A11" workbookViewId="0">
      <selection activeCell="H26" sqref="H26"/>
    </sheetView>
  </sheetViews>
  <sheetFormatPr defaultColWidth="9.13888888888889" defaultRowHeight="21"/>
  <cols>
    <col min="1" max="1" width="7.42592592592593" style="2" customWidth="1"/>
    <col min="2" max="2" width="88.5740740740741" style="3" customWidth="1"/>
    <col min="3" max="3" width="25.287037037037" style="3" hidden="1" customWidth="1"/>
    <col min="4" max="4" width="24.4259259259259" style="3" hidden="1" customWidth="1"/>
    <col min="5" max="5" width="0.138888888888889" style="3" customWidth="1"/>
    <col min="6" max="7" width="29" style="3" hidden="1" customWidth="1"/>
    <col min="8" max="8" width="24.4259259259259" style="4" customWidth="1"/>
    <col min="9" max="9" width="28.8518518518519" style="5" customWidth="1"/>
    <col min="10" max="10" width="25.712962962963" style="6" customWidth="1"/>
    <col min="11" max="11" width="15.5740740740741" style="3" customWidth="1"/>
    <col min="12" max="13" width="21.8518518518519" style="3" customWidth="1"/>
    <col min="14" max="16384" width="9.13888888888889" style="3"/>
  </cols>
  <sheetData>
    <row r="1" spans="1:10">
      <c r="A1" s="7" t="s">
        <v>0</v>
      </c>
      <c r="B1" s="7"/>
      <c r="C1" s="7"/>
      <c r="D1" s="7"/>
      <c r="E1" s="7"/>
      <c r="F1" s="7"/>
      <c r="G1" s="7"/>
      <c r="H1" s="7"/>
      <c r="I1" s="31"/>
      <c r="J1" s="32"/>
    </row>
    <row r="2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46.5" customHeight="1" spans="1:10">
      <c r="A3" s="9"/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12" t="s">
        <v>9</v>
      </c>
      <c r="J3" s="33" t="s">
        <v>10</v>
      </c>
    </row>
    <row r="4" spans="1:10">
      <c r="A4" s="13">
        <v>1</v>
      </c>
      <c r="B4" s="14" t="s">
        <v>11</v>
      </c>
      <c r="C4" s="15">
        <v>7753474531</v>
      </c>
      <c r="D4" s="15">
        <v>-241607500</v>
      </c>
      <c r="E4" s="15">
        <f>C4+D4</f>
        <v>7511867031</v>
      </c>
      <c r="F4" s="15">
        <v>7845839172</v>
      </c>
      <c r="G4" s="15">
        <v>8139999909</v>
      </c>
      <c r="H4" s="15">
        <v>8039755314</v>
      </c>
      <c r="I4" s="15">
        <v>9122244994</v>
      </c>
      <c r="J4" s="34">
        <v>9696668064</v>
      </c>
    </row>
    <row r="5" spans="1:13">
      <c r="A5" s="13">
        <v>2</v>
      </c>
      <c r="B5" s="14" t="s">
        <v>12</v>
      </c>
      <c r="C5" s="15">
        <f>597902936</f>
        <v>597902936</v>
      </c>
      <c r="D5" s="15">
        <v>133780632</v>
      </c>
      <c r="E5" s="15">
        <f t="shared" ref="E5:E16" si="0">C5+D5</f>
        <v>731683568</v>
      </c>
      <c r="F5" s="15">
        <f>385000000</f>
        <v>385000000</v>
      </c>
      <c r="G5" s="16">
        <f>385000000</f>
        <v>385000000</v>
      </c>
      <c r="H5" s="15">
        <f>600000000</f>
        <v>600000000</v>
      </c>
      <c r="I5" s="15">
        <f>92052693.6</f>
        <v>92052693.6</v>
      </c>
      <c r="J5" s="34">
        <f>95871509.6</f>
        <v>95871509.6</v>
      </c>
      <c r="K5" s="4"/>
      <c r="L5" s="35">
        <v>92052693.6000004</v>
      </c>
      <c r="M5" s="35">
        <v>95871509.6049995</v>
      </c>
    </row>
    <row r="6" spans="1:10">
      <c r="A6" s="13">
        <v>3</v>
      </c>
      <c r="B6" s="14" t="s">
        <v>13</v>
      </c>
      <c r="C6" s="15">
        <v>20000000</v>
      </c>
      <c r="D6" s="15"/>
      <c r="E6" s="15">
        <f t="shared" si="0"/>
        <v>20000000</v>
      </c>
      <c r="F6" s="15">
        <v>20000000</v>
      </c>
      <c r="G6" s="16">
        <v>20000000</v>
      </c>
      <c r="H6" s="17">
        <v>20000000</v>
      </c>
      <c r="I6" s="15">
        <f t="shared" ref="I6:I16" si="1">H6*1.05</f>
        <v>21000000</v>
      </c>
      <c r="J6" s="34">
        <f t="shared" ref="J6:J22" si="2">I6*1.05</f>
        <v>22050000</v>
      </c>
    </row>
    <row r="7" spans="1:10">
      <c r="A7" s="13">
        <v>4</v>
      </c>
      <c r="B7" s="18" t="s">
        <v>14</v>
      </c>
      <c r="C7" s="15">
        <v>110729613</v>
      </c>
      <c r="D7" s="15"/>
      <c r="E7" s="15">
        <f t="shared" si="0"/>
        <v>110729613</v>
      </c>
      <c r="F7" s="15">
        <v>137000000</v>
      </c>
      <c r="G7" s="15">
        <v>137000000</v>
      </c>
      <c r="H7" s="15">
        <f>E7</f>
        <v>110729613</v>
      </c>
      <c r="I7" s="15">
        <f t="shared" si="1"/>
        <v>116266093.65</v>
      </c>
      <c r="J7" s="34">
        <f t="shared" si="2"/>
        <v>122079398.3325</v>
      </c>
    </row>
    <row r="8" ht="40.8" spans="1:10">
      <c r="A8" s="13">
        <v>5</v>
      </c>
      <c r="B8" s="19" t="s">
        <v>15</v>
      </c>
      <c r="C8" s="15"/>
      <c r="D8" s="15"/>
      <c r="E8" s="17">
        <f>0</f>
        <v>0</v>
      </c>
      <c r="F8" s="15"/>
      <c r="G8" s="15"/>
      <c r="H8" s="15">
        <f>80729613</f>
        <v>80729613</v>
      </c>
      <c r="I8" s="17">
        <f>0</f>
        <v>0</v>
      </c>
      <c r="J8" s="36">
        <f>0</f>
        <v>0</v>
      </c>
    </row>
    <row r="9" spans="1:10">
      <c r="A9" s="13">
        <v>6</v>
      </c>
      <c r="B9" s="18" t="s">
        <v>16</v>
      </c>
      <c r="C9" s="15">
        <v>17000000</v>
      </c>
      <c r="D9" s="15"/>
      <c r="E9" s="15">
        <f t="shared" si="0"/>
        <v>17000000</v>
      </c>
      <c r="F9" s="15">
        <v>0</v>
      </c>
      <c r="G9" s="16">
        <v>0</v>
      </c>
      <c r="H9" s="20">
        <v>0</v>
      </c>
      <c r="I9" s="17">
        <f t="shared" si="1"/>
        <v>0</v>
      </c>
      <c r="J9" s="36">
        <f t="shared" si="2"/>
        <v>0</v>
      </c>
    </row>
    <row r="10" spans="1:10">
      <c r="A10" s="13">
        <v>7</v>
      </c>
      <c r="B10" s="18" t="s">
        <v>17</v>
      </c>
      <c r="C10" s="15">
        <v>270941894</v>
      </c>
      <c r="D10" s="15"/>
      <c r="E10" s="15">
        <f t="shared" si="0"/>
        <v>270941894</v>
      </c>
      <c r="F10" s="15">
        <v>270941894</v>
      </c>
      <c r="G10" s="15">
        <v>270941894</v>
      </c>
      <c r="H10" s="20">
        <v>270941894</v>
      </c>
      <c r="I10" s="15">
        <f t="shared" si="1"/>
        <v>284488988.7</v>
      </c>
      <c r="J10" s="34">
        <f t="shared" si="2"/>
        <v>298713438.135</v>
      </c>
    </row>
    <row r="11" spans="1:10">
      <c r="A11" s="13">
        <v>8</v>
      </c>
      <c r="B11" s="18" t="s">
        <v>18</v>
      </c>
      <c r="C11" s="15">
        <v>0</v>
      </c>
      <c r="D11" s="15"/>
      <c r="E11" s="15">
        <f t="shared" si="0"/>
        <v>0</v>
      </c>
      <c r="F11" s="15">
        <v>71972000</v>
      </c>
      <c r="G11" s="15">
        <v>71972000</v>
      </c>
      <c r="H11" s="20">
        <v>56993611</v>
      </c>
      <c r="I11" s="15">
        <f t="shared" si="1"/>
        <v>59843291.55</v>
      </c>
      <c r="J11" s="34">
        <f t="shared" si="2"/>
        <v>62835456.1275</v>
      </c>
    </row>
    <row r="12" spans="1:10">
      <c r="A12" s="13">
        <v>9</v>
      </c>
      <c r="B12" s="18" t="s">
        <v>19</v>
      </c>
      <c r="C12" s="15">
        <v>46050000</v>
      </c>
      <c r="D12" s="15"/>
      <c r="E12" s="15">
        <f t="shared" si="0"/>
        <v>46050000</v>
      </c>
      <c r="F12" s="15">
        <v>53191489</v>
      </c>
      <c r="G12" s="16">
        <v>53191489</v>
      </c>
      <c r="H12" s="15">
        <f>E12</f>
        <v>46050000</v>
      </c>
      <c r="I12" s="15">
        <f t="shared" si="1"/>
        <v>48352500</v>
      </c>
      <c r="J12" s="34">
        <f t="shared" si="2"/>
        <v>50770125</v>
      </c>
    </row>
    <row r="13" spans="1:10">
      <c r="A13" s="13">
        <v>10</v>
      </c>
      <c r="B13" s="19" t="s">
        <v>20</v>
      </c>
      <c r="C13" s="15">
        <v>9701250</v>
      </c>
      <c r="D13" s="15"/>
      <c r="E13" s="15">
        <f t="shared" si="0"/>
        <v>9701250</v>
      </c>
      <c r="F13" s="15">
        <v>8452250</v>
      </c>
      <c r="G13" s="16">
        <v>6952250</v>
      </c>
      <c r="H13" s="15">
        <f>E13</f>
        <v>9701250</v>
      </c>
      <c r="I13" s="15">
        <v>9701250</v>
      </c>
      <c r="J13" s="34">
        <v>9701250</v>
      </c>
    </row>
    <row r="14" spans="1:10">
      <c r="A14" s="13">
        <v>11</v>
      </c>
      <c r="B14" s="19" t="s">
        <v>21</v>
      </c>
      <c r="C14" s="15">
        <v>0</v>
      </c>
      <c r="D14" s="15"/>
      <c r="E14" s="17">
        <f t="shared" si="0"/>
        <v>0</v>
      </c>
      <c r="F14" s="15"/>
      <c r="G14" s="16"/>
      <c r="H14" s="17">
        <v>70740842</v>
      </c>
      <c r="I14" s="15">
        <f t="shared" si="1"/>
        <v>74277884.1</v>
      </c>
      <c r="J14" s="34">
        <f t="shared" si="2"/>
        <v>77991778.305</v>
      </c>
    </row>
    <row r="15" spans="1:10">
      <c r="A15" s="13">
        <v>12</v>
      </c>
      <c r="B15" s="19" t="s">
        <v>22</v>
      </c>
      <c r="C15" s="15">
        <v>10918919</v>
      </c>
      <c r="D15" s="15"/>
      <c r="E15" s="15">
        <f t="shared" si="0"/>
        <v>10918919</v>
      </c>
      <c r="F15" s="15">
        <v>10918919</v>
      </c>
      <c r="G15" s="15">
        <v>10918919</v>
      </c>
      <c r="H15" s="15">
        <f>E15</f>
        <v>10918919</v>
      </c>
      <c r="I15" s="15">
        <f t="shared" si="1"/>
        <v>11464864.95</v>
      </c>
      <c r="J15" s="34">
        <f t="shared" si="2"/>
        <v>12038108.1975</v>
      </c>
    </row>
    <row r="16" spans="1:10">
      <c r="A16" s="13">
        <v>13</v>
      </c>
      <c r="B16" s="19" t="s">
        <v>23</v>
      </c>
      <c r="C16" s="15">
        <v>37500000</v>
      </c>
      <c r="D16" s="15">
        <v>0</v>
      </c>
      <c r="E16" s="15">
        <f t="shared" si="0"/>
        <v>37500000</v>
      </c>
      <c r="F16" s="15">
        <v>170000000</v>
      </c>
      <c r="G16" s="15">
        <v>200000000</v>
      </c>
      <c r="H16" s="15">
        <v>37500000</v>
      </c>
      <c r="I16" s="15">
        <f t="shared" si="1"/>
        <v>39375000</v>
      </c>
      <c r="J16" s="34">
        <f t="shared" si="2"/>
        <v>41343750</v>
      </c>
    </row>
    <row r="17" spans="1:10">
      <c r="A17" s="13">
        <v>14</v>
      </c>
      <c r="B17" s="19" t="s">
        <v>24</v>
      </c>
      <c r="C17" s="15"/>
      <c r="D17" s="21"/>
      <c r="E17" s="15"/>
      <c r="F17" s="15"/>
      <c r="G17" s="15"/>
      <c r="H17" s="15">
        <v>352500000</v>
      </c>
      <c r="I17" s="17">
        <f>0</f>
        <v>0</v>
      </c>
      <c r="J17" s="34">
        <f>0</f>
        <v>0</v>
      </c>
    </row>
    <row r="18" spans="1:10">
      <c r="A18" s="13">
        <v>15</v>
      </c>
      <c r="B18" s="19" t="s">
        <v>25</v>
      </c>
      <c r="C18" s="15">
        <v>151515152</v>
      </c>
      <c r="D18" s="21"/>
      <c r="E18" s="15">
        <f t="shared" ref="E18:E23" si="3">C18+D18</f>
        <v>151515152</v>
      </c>
      <c r="F18" s="15">
        <v>151515152</v>
      </c>
      <c r="G18" s="15">
        <v>151515152</v>
      </c>
      <c r="H18" s="15">
        <f>E18</f>
        <v>151515152</v>
      </c>
      <c r="I18" s="15">
        <v>151515152</v>
      </c>
      <c r="J18" s="34">
        <v>151515152</v>
      </c>
    </row>
    <row r="19" spans="1:10">
      <c r="A19" s="13">
        <v>16</v>
      </c>
      <c r="B19" s="19" t="s">
        <v>26</v>
      </c>
      <c r="C19" s="15">
        <v>35000000</v>
      </c>
      <c r="D19" s="15"/>
      <c r="E19" s="15">
        <f t="shared" si="3"/>
        <v>35000000</v>
      </c>
      <c r="F19" s="15">
        <v>31500000</v>
      </c>
      <c r="G19" s="16">
        <v>31500000</v>
      </c>
      <c r="H19" s="15">
        <v>28000000</v>
      </c>
      <c r="I19" s="15">
        <f t="shared" ref="I19:I23" si="4">H19*1.05</f>
        <v>29400000</v>
      </c>
      <c r="J19" s="34">
        <f t="shared" si="2"/>
        <v>30870000</v>
      </c>
    </row>
    <row r="20" spans="1:10">
      <c r="A20" s="13">
        <v>17</v>
      </c>
      <c r="B20" s="19" t="s">
        <v>27</v>
      </c>
      <c r="C20" s="15">
        <v>70743658</v>
      </c>
      <c r="D20" s="15"/>
      <c r="E20" s="15">
        <f t="shared" si="3"/>
        <v>70743658</v>
      </c>
      <c r="F20" s="15">
        <v>70000000</v>
      </c>
      <c r="G20" s="15">
        <v>70000000</v>
      </c>
      <c r="H20" s="15">
        <v>124000000</v>
      </c>
      <c r="I20" s="15">
        <f t="shared" si="4"/>
        <v>130200000</v>
      </c>
      <c r="J20" s="34">
        <f t="shared" si="2"/>
        <v>136710000</v>
      </c>
    </row>
    <row r="21" s="1" customFormat="1" spans="1:10">
      <c r="A21" s="22">
        <v>18</v>
      </c>
      <c r="B21" s="23" t="s">
        <v>28</v>
      </c>
      <c r="C21" s="24">
        <v>1250000000</v>
      </c>
      <c r="D21" s="24">
        <v>350000000</v>
      </c>
      <c r="E21" s="24">
        <f t="shared" si="3"/>
        <v>1600000000</v>
      </c>
      <c r="F21" s="24">
        <v>1400000000</v>
      </c>
      <c r="G21" s="25">
        <v>1605000000</v>
      </c>
      <c r="H21" s="24">
        <v>1416669232</v>
      </c>
      <c r="I21" s="24">
        <v>1600000000</v>
      </c>
      <c r="J21" s="34">
        <f t="shared" si="2"/>
        <v>1680000000</v>
      </c>
    </row>
    <row r="22" spans="1:10">
      <c r="A22" s="13">
        <v>19</v>
      </c>
      <c r="B22" s="18" t="s">
        <v>29</v>
      </c>
      <c r="C22" s="15">
        <f>20000000</f>
        <v>20000000</v>
      </c>
      <c r="D22" s="15"/>
      <c r="E22" s="15">
        <f t="shared" si="3"/>
        <v>20000000</v>
      </c>
      <c r="F22" s="15"/>
      <c r="G22" s="16"/>
      <c r="H22" s="15">
        <v>190000000</v>
      </c>
      <c r="I22" s="15">
        <f t="shared" si="4"/>
        <v>199500000</v>
      </c>
      <c r="J22" s="34">
        <f t="shared" si="2"/>
        <v>209475000</v>
      </c>
    </row>
    <row r="23" spans="1:10">
      <c r="A23" s="13">
        <v>20</v>
      </c>
      <c r="B23" s="18" t="s">
        <v>30</v>
      </c>
      <c r="C23" s="15">
        <v>100000000</v>
      </c>
      <c r="D23" s="15"/>
      <c r="E23" s="15">
        <f t="shared" si="3"/>
        <v>100000000</v>
      </c>
      <c r="F23" s="15">
        <v>100000000</v>
      </c>
      <c r="G23" s="16">
        <v>100000000</v>
      </c>
      <c r="H23" s="15">
        <v>100000000</v>
      </c>
      <c r="I23" s="15">
        <f t="shared" si="4"/>
        <v>105000000</v>
      </c>
      <c r="J23" s="34">
        <v>0</v>
      </c>
    </row>
    <row r="24" spans="1:10">
      <c r="A24" s="26"/>
      <c r="B24" s="27" t="s">
        <v>31</v>
      </c>
      <c r="C24" s="28">
        <f t="shared" ref="C24:J24" si="5">SUM(C4:C23)</f>
        <v>10501477953</v>
      </c>
      <c r="D24" s="28">
        <f t="shared" si="5"/>
        <v>242173132</v>
      </c>
      <c r="E24" s="28">
        <f t="shared" si="5"/>
        <v>10743651085</v>
      </c>
      <c r="F24" s="28">
        <f t="shared" si="5"/>
        <v>10726330876</v>
      </c>
      <c r="G24" s="28">
        <f t="shared" si="5"/>
        <v>11253991613</v>
      </c>
      <c r="H24" s="15">
        <f t="shared" si="5"/>
        <v>11716745440</v>
      </c>
      <c r="I24" s="15">
        <f t="shared" si="5"/>
        <v>12094682712.55</v>
      </c>
      <c r="J24" s="37">
        <f t="shared" si="5"/>
        <v>12698633029.6975</v>
      </c>
    </row>
    <row r="25" spans="8:8">
      <c r="H25" s="29">
        <v>3828918848</v>
      </c>
    </row>
    <row r="26" spans="8:9">
      <c r="H26" s="30">
        <f>H25/H24</f>
        <v>0.326790307735831</v>
      </c>
      <c r="I26" s="38"/>
    </row>
  </sheetData>
  <mergeCells count="1">
    <mergeCell ref="A2:J2"/>
  </mergeCells>
  <pageMargins left="0.7" right="0.7" top="0.75" bottom="0.75" header="0.3" footer="0.3"/>
  <pageSetup paperSize="9" scale="74" orientation="landscape"/>
  <headerFooter/>
  <ignoredErrors>
    <ignoredError sqref="E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76"/>
  <sheetViews>
    <sheetView tabSelected="1" view="pageBreakPreview" zoomScale="77" zoomScaleNormal="77" topLeftCell="B1" workbookViewId="0">
      <pane ySplit="5" topLeftCell="A463" activePane="bottomLeft" state="frozen"/>
      <selection/>
      <selection pane="bottomLeft" activeCell="H22" sqref="H6:H22"/>
    </sheetView>
  </sheetViews>
  <sheetFormatPr defaultColWidth="8.71296296296296" defaultRowHeight="21"/>
  <cols>
    <col min="1" max="1" width="120.138888888889" style="246" hidden="1" customWidth="1"/>
    <col min="2" max="2" width="30" style="247" customWidth="1"/>
    <col min="3" max="3" width="12.287037037037" style="247" customWidth="1"/>
    <col min="4" max="4" width="91.712962962963" style="246" customWidth="1"/>
    <col min="5" max="5" width="0.138888888888889" style="248" customWidth="1"/>
    <col min="6" max="6" width="19.712962962963" style="249" hidden="1" customWidth="1"/>
    <col min="7" max="7" width="23.5740740740741" style="250" hidden="1" customWidth="1"/>
    <col min="8" max="8" width="28" style="251" customWidth="1"/>
    <col min="9" max="11" width="28.1388888888889" style="250" customWidth="1"/>
    <col min="12" max="12" width="23.712962962963" style="250" customWidth="1"/>
    <col min="13" max="13" width="19.287037037037" style="250" customWidth="1"/>
    <col min="14" max="16" width="8.71296296296296" style="250"/>
    <col min="17" max="17" width="16.4259259259259" style="250" customWidth="1"/>
    <col min="18" max="16384" width="8.71296296296296" style="250"/>
  </cols>
  <sheetData>
    <row r="1" ht="26.25" customHeight="1" spans="1:10">
      <c r="A1" s="252" t="s">
        <v>32</v>
      </c>
      <c r="B1" s="253"/>
      <c r="C1" s="254"/>
      <c r="D1" s="254" t="s">
        <v>33</v>
      </c>
      <c r="E1" s="254"/>
      <c r="F1" s="254"/>
      <c r="G1" s="254"/>
      <c r="H1" s="255"/>
      <c r="I1" s="253"/>
      <c r="J1" s="253"/>
    </row>
    <row r="2" spans="1:10">
      <c r="A2" s="256"/>
      <c r="B2" s="257"/>
      <c r="C2" s="258"/>
      <c r="D2" s="258" t="s">
        <v>34</v>
      </c>
      <c r="E2" s="258"/>
      <c r="F2" s="258"/>
      <c r="G2" s="258"/>
      <c r="H2" s="259"/>
      <c r="I2" s="293"/>
      <c r="J2" s="293"/>
    </row>
    <row r="3" ht="22.5" customHeight="1" spans="1:10">
      <c r="A3" s="260" t="s">
        <v>35</v>
      </c>
      <c r="B3" s="261"/>
      <c r="C3" s="261"/>
      <c r="D3" s="261" t="s">
        <v>35</v>
      </c>
      <c r="E3" s="261"/>
      <c r="F3" s="261"/>
      <c r="G3" s="261"/>
      <c r="H3" s="262"/>
      <c r="I3" s="294"/>
      <c r="J3" s="294"/>
    </row>
    <row r="4" ht="31.5" customHeight="1" spans="1:10">
      <c r="A4" s="263" t="s">
        <v>36</v>
      </c>
      <c r="B4" s="264" t="s">
        <v>37</v>
      </c>
      <c r="C4" s="264"/>
      <c r="D4" s="264" t="s">
        <v>38</v>
      </c>
      <c r="E4" s="264" t="s">
        <v>39</v>
      </c>
      <c r="F4" s="264" t="s">
        <v>4</v>
      </c>
      <c r="G4" s="264" t="s">
        <v>5</v>
      </c>
      <c r="H4" s="265" t="s">
        <v>40</v>
      </c>
      <c r="I4" s="295" t="s">
        <v>41</v>
      </c>
      <c r="J4" s="295" t="s">
        <v>42</v>
      </c>
    </row>
    <row r="5" ht="12.75" customHeight="1" spans="1:14">
      <c r="A5" s="266"/>
      <c r="B5" s="267"/>
      <c r="C5" s="267"/>
      <c r="D5" s="267"/>
      <c r="E5" s="267"/>
      <c r="F5" s="267"/>
      <c r="G5" s="267"/>
      <c r="H5" s="268"/>
      <c r="I5" s="296" t="s">
        <v>43</v>
      </c>
      <c r="J5" s="296"/>
      <c r="N5" s="284" t="s">
        <v>44</v>
      </c>
    </row>
    <row r="6" spans="1:13">
      <c r="A6" s="266"/>
      <c r="B6" s="269" t="s">
        <v>45</v>
      </c>
      <c r="C6" s="269"/>
      <c r="D6" s="270" t="s">
        <v>46</v>
      </c>
      <c r="E6" s="271">
        <f>E152</f>
        <v>409326209</v>
      </c>
      <c r="F6" s="272">
        <f t="shared" ref="F6" si="0">F152</f>
        <v>-15000000</v>
      </c>
      <c r="G6" s="273">
        <f>E6+F6</f>
        <v>394326209</v>
      </c>
      <c r="H6" s="274">
        <f>H152</f>
        <v>314084209</v>
      </c>
      <c r="I6" s="297">
        <f>I152</f>
        <v>329788419.45</v>
      </c>
      <c r="J6" s="298">
        <f>J152</f>
        <v>346277840.4225</v>
      </c>
      <c r="L6" s="299">
        <f>320084209</f>
        <v>320084209</v>
      </c>
      <c r="M6" s="300">
        <f>H6-L6</f>
        <v>-6000000</v>
      </c>
    </row>
    <row r="7" spans="1:13">
      <c r="A7" s="266"/>
      <c r="B7" s="269" t="s">
        <v>47</v>
      </c>
      <c r="C7" s="269"/>
      <c r="D7" s="270" t="s">
        <v>48</v>
      </c>
      <c r="E7" s="271">
        <f>E763</f>
        <v>841956442</v>
      </c>
      <c r="F7" s="272">
        <f t="shared" ref="F7" si="1">F763</f>
        <v>-16141608</v>
      </c>
      <c r="G7" s="273">
        <f t="shared" ref="G7:G22" si="2">E7+F7</f>
        <v>825814834</v>
      </c>
      <c r="H7" s="274">
        <f>H763</f>
        <v>816710947</v>
      </c>
      <c r="I7" s="297">
        <f>I763</f>
        <v>857546494.35</v>
      </c>
      <c r="J7" s="297">
        <f>J763</f>
        <v>793605575.7</v>
      </c>
      <c r="L7" s="299">
        <f>816710947</f>
        <v>816710947</v>
      </c>
      <c r="M7" s="300">
        <f t="shared" ref="M7:M22" si="3">H7-L7</f>
        <v>0</v>
      </c>
    </row>
    <row r="8" spans="1:13">
      <c r="A8" s="266"/>
      <c r="B8" s="269" t="s">
        <v>47</v>
      </c>
      <c r="C8" s="269"/>
      <c r="D8" s="270" t="s">
        <v>49</v>
      </c>
      <c r="E8" s="271">
        <f t="shared" ref="E8" si="4">E230</f>
        <v>361008543</v>
      </c>
      <c r="F8" s="272">
        <f t="shared" ref="F8" si="5">F230</f>
        <v>2000000</v>
      </c>
      <c r="G8" s="273">
        <f t="shared" si="2"/>
        <v>363008543</v>
      </c>
      <c r="H8" s="274">
        <f>H230</f>
        <v>344358969</v>
      </c>
      <c r="I8" s="297">
        <f t="shared" ref="I8:J8" si="6">I230</f>
        <v>361576917.45</v>
      </c>
      <c r="J8" s="297">
        <f t="shared" si="6"/>
        <v>379655763.3225</v>
      </c>
      <c r="L8" s="299">
        <f>295396969</f>
        <v>295396969</v>
      </c>
      <c r="M8" s="300">
        <f t="shared" si="3"/>
        <v>48962000</v>
      </c>
    </row>
    <row r="9" spans="1:13">
      <c r="A9" s="266"/>
      <c r="B9" s="269" t="s">
        <v>50</v>
      </c>
      <c r="C9" s="269"/>
      <c r="D9" s="270" t="s">
        <v>51</v>
      </c>
      <c r="E9" s="271">
        <f t="shared" ref="E9" si="7">E267</f>
        <v>287014150</v>
      </c>
      <c r="F9" s="272">
        <f t="shared" ref="F9" si="8">F267</f>
        <v>-200000</v>
      </c>
      <c r="G9" s="273">
        <f t="shared" si="2"/>
        <v>286814150</v>
      </c>
      <c r="H9" s="274">
        <f>H267</f>
        <v>304644858</v>
      </c>
      <c r="I9" s="297">
        <f t="shared" ref="I9:J9" si="9">I267</f>
        <v>319877100.9</v>
      </c>
      <c r="J9" s="297">
        <f t="shared" si="9"/>
        <v>335870955.945</v>
      </c>
      <c r="L9" s="299">
        <f>304644858</f>
        <v>304644858</v>
      </c>
      <c r="M9" s="300">
        <f t="shared" si="3"/>
        <v>0</v>
      </c>
    </row>
    <row r="10" spans="1:13">
      <c r="A10" s="266"/>
      <c r="B10" s="269" t="s">
        <v>52</v>
      </c>
      <c r="C10" s="269"/>
      <c r="D10" s="270" t="s">
        <v>53</v>
      </c>
      <c r="E10" s="271">
        <f t="shared" ref="E10" si="10">E300</f>
        <v>40729487</v>
      </c>
      <c r="F10" s="272">
        <f t="shared" ref="F10" si="11">F300</f>
        <v>-2300000</v>
      </c>
      <c r="G10" s="273">
        <f t="shared" si="2"/>
        <v>38429487</v>
      </c>
      <c r="H10" s="274">
        <f>H301</f>
        <v>36347435</v>
      </c>
      <c r="I10" s="297">
        <f>I301</f>
        <v>38164806.75</v>
      </c>
      <c r="J10" s="297">
        <f>J301</f>
        <v>40073047.0875</v>
      </c>
      <c r="L10" s="299">
        <f>36347435</f>
        <v>36347435</v>
      </c>
      <c r="M10" s="300">
        <f t="shared" si="3"/>
        <v>0</v>
      </c>
    </row>
    <row r="11" spans="1:13">
      <c r="A11" s="266"/>
      <c r="B11" s="269" t="s">
        <v>54</v>
      </c>
      <c r="C11" s="269"/>
      <c r="D11" s="270" t="s">
        <v>55</v>
      </c>
      <c r="E11" s="271">
        <f t="shared" ref="E11" si="12">E365</f>
        <v>64930706</v>
      </c>
      <c r="F11" s="272">
        <f t="shared" ref="F11" si="13">F365</f>
        <v>-900000</v>
      </c>
      <c r="G11" s="273">
        <f t="shared" si="2"/>
        <v>64030706</v>
      </c>
      <c r="H11" s="274">
        <f>H365</f>
        <v>46750000</v>
      </c>
      <c r="I11" s="297">
        <f t="shared" ref="I11:J11" si="14">I365</f>
        <v>49087500</v>
      </c>
      <c r="J11" s="297">
        <f t="shared" si="14"/>
        <v>51541875</v>
      </c>
      <c r="L11" s="299">
        <f>46750000</f>
        <v>46750000</v>
      </c>
      <c r="M11" s="300">
        <f t="shared" si="3"/>
        <v>0</v>
      </c>
    </row>
    <row r="12" spans="1:13">
      <c r="A12" s="266"/>
      <c r="B12" s="269" t="s">
        <v>56</v>
      </c>
      <c r="C12" s="269"/>
      <c r="D12" s="270" t="s">
        <v>57</v>
      </c>
      <c r="E12" s="271">
        <f t="shared" ref="E12" si="15">E405</f>
        <v>726323424</v>
      </c>
      <c r="F12" s="272">
        <f t="shared" ref="F12" si="16">F405</f>
        <v>38000000</v>
      </c>
      <c r="G12" s="273">
        <f t="shared" si="2"/>
        <v>764323424</v>
      </c>
      <c r="H12" s="274">
        <f>H405</f>
        <v>715323424</v>
      </c>
      <c r="I12" s="297">
        <f t="shared" ref="I12:J12" si="17">I405</f>
        <v>751089595.2</v>
      </c>
      <c r="J12" s="297">
        <f t="shared" si="17"/>
        <v>788644074.96</v>
      </c>
      <c r="L12" s="299">
        <f>715323424</f>
        <v>715323424</v>
      </c>
      <c r="M12" s="300">
        <f t="shared" si="3"/>
        <v>0</v>
      </c>
    </row>
    <row r="13" spans="1:13">
      <c r="A13" s="266"/>
      <c r="B13" s="269" t="s">
        <v>58</v>
      </c>
      <c r="C13" s="269"/>
      <c r="D13" s="270" t="s">
        <v>59</v>
      </c>
      <c r="E13" s="271">
        <f t="shared" ref="E13" si="18">E453</f>
        <v>3141558895</v>
      </c>
      <c r="F13" s="272">
        <f t="shared" ref="F13" si="19">F453</f>
        <v>135000000</v>
      </c>
      <c r="G13" s="273">
        <f t="shared" si="2"/>
        <v>3276558895</v>
      </c>
      <c r="H13" s="274">
        <f>H453</f>
        <v>3426645088</v>
      </c>
      <c r="I13" s="297">
        <f t="shared" ref="I13:J13" si="20">I453</f>
        <v>3597977342.4</v>
      </c>
      <c r="J13" s="297">
        <f t="shared" si="20"/>
        <v>3777876209.52</v>
      </c>
      <c r="L13" s="299">
        <f>3369651477</f>
        <v>3369651477</v>
      </c>
      <c r="M13" s="300">
        <f t="shared" si="3"/>
        <v>56993611</v>
      </c>
    </row>
    <row r="14" spans="1:13">
      <c r="A14" s="266"/>
      <c r="B14" s="269" t="s">
        <v>60</v>
      </c>
      <c r="C14" s="269"/>
      <c r="D14" s="270" t="s">
        <v>61</v>
      </c>
      <c r="E14" s="271">
        <f>E504</f>
        <v>29779031</v>
      </c>
      <c r="F14" s="272">
        <f t="shared" ref="F14" si="21">F504</f>
        <v>32900000</v>
      </c>
      <c r="G14" s="273">
        <f t="shared" si="2"/>
        <v>62679031</v>
      </c>
      <c r="H14" s="274">
        <f>H504</f>
        <v>52062983</v>
      </c>
      <c r="I14" s="297">
        <f>I504</f>
        <v>54666132.15</v>
      </c>
      <c r="J14" s="297">
        <f>J504</f>
        <v>48167122.5</v>
      </c>
      <c r="L14" s="299">
        <f>49062983</f>
        <v>49062983</v>
      </c>
      <c r="M14" s="300">
        <f t="shared" si="3"/>
        <v>3000000</v>
      </c>
    </row>
    <row r="15" spans="1:13">
      <c r="A15" s="266"/>
      <c r="B15" s="269" t="s">
        <v>62</v>
      </c>
      <c r="C15" s="269"/>
      <c r="D15" s="270" t="s">
        <v>63</v>
      </c>
      <c r="E15" s="271">
        <f>E523</f>
        <v>35115881</v>
      </c>
      <c r="F15" s="272">
        <f t="shared" ref="F15" si="22">F523</f>
        <v>-550000</v>
      </c>
      <c r="G15" s="273">
        <f t="shared" si="2"/>
        <v>34565881</v>
      </c>
      <c r="H15" s="274">
        <f>H523</f>
        <v>28844175</v>
      </c>
      <c r="I15" s="297">
        <f>I523</f>
        <v>30286383.75</v>
      </c>
      <c r="J15" s="297">
        <f>J523</f>
        <v>31800702.9375</v>
      </c>
      <c r="L15" s="299">
        <f>28844175</f>
        <v>28844175</v>
      </c>
      <c r="M15" s="300">
        <f t="shared" si="3"/>
        <v>0</v>
      </c>
    </row>
    <row r="16" spans="1:13">
      <c r="A16" s="266"/>
      <c r="B16" s="269" t="s">
        <v>64</v>
      </c>
      <c r="C16" s="269"/>
      <c r="D16" s="270" t="s">
        <v>65</v>
      </c>
      <c r="E16" s="271">
        <f>E572</f>
        <v>95679737</v>
      </c>
      <c r="F16" s="272">
        <f t="shared" ref="F16" si="23">F572</f>
        <v>5700000</v>
      </c>
      <c r="G16" s="273">
        <f t="shared" si="2"/>
        <v>101379737</v>
      </c>
      <c r="H16" s="274">
        <f>H572</f>
        <v>92798723</v>
      </c>
      <c r="I16" s="297">
        <f>I572</f>
        <v>97438659.15</v>
      </c>
      <c r="J16" s="297">
        <f>J572</f>
        <v>102310592.1075</v>
      </c>
      <c r="L16" s="299">
        <f>87798723</f>
        <v>87798723</v>
      </c>
      <c r="M16" s="300">
        <f t="shared" si="3"/>
        <v>5000000</v>
      </c>
    </row>
    <row r="17" spans="1:13">
      <c r="A17" s="266"/>
      <c r="B17" s="269" t="s">
        <v>66</v>
      </c>
      <c r="C17" s="269"/>
      <c r="D17" s="270" t="s">
        <v>67</v>
      </c>
      <c r="E17" s="271">
        <f>E615</f>
        <v>121407554</v>
      </c>
      <c r="F17" s="272">
        <f t="shared" ref="F17" si="24">F615</f>
        <v>0</v>
      </c>
      <c r="G17" s="273">
        <f t="shared" si="2"/>
        <v>121407554</v>
      </c>
      <c r="H17" s="274">
        <f>H615</f>
        <v>122820066</v>
      </c>
      <c r="I17" s="297">
        <f>I615</f>
        <v>128961069.3</v>
      </c>
      <c r="J17" s="280">
        <f>J615</f>
        <v>135409122.765</v>
      </c>
      <c r="L17" s="299">
        <f>122820066</f>
        <v>122820066</v>
      </c>
      <c r="M17" s="300">
        <f t="shared" si="3"/>
        <v>0</v>
      </c>
    </row>
    <row r="18" spans="1:13">
      <c r="A18" s="266"/>
      <c r="B18" s="269" t="s">
        <v>68</v>
      </c>
      <c r="C18" s="269"/>
      <c r="D18" s="270" t="s">
        <v>69</v>
      </c>
      <c r="E18" s="271">
        <f>E680</f>
        <v>997082478</v>
      </c>
      <c r="F18" s="272">
        <f t="shared" ref="F18" si="25">F680</f>
        <v>38250000</v>
      </c>
      <c r="G18" s="273">
        <f t="shared" si="2"/>
        <v>1035332478</v>
      </c>
      <c r="H18" s="274">
        <f>H680</f>
        <v>1414173110</v>
      </c>
      <c r="I18" s="297">
        <f>I680</f>
        <v>1350481765.5</v>
      </c>
      <c r="J18" s="280">
        <f>J680</f>
        <v>1418005853.775</v>
      </c>
      <c r="L18" s="299">
        <f>1414173110</f>
        <v>1414173110</v>
      </c>
      <c r="M18" s="300">
        <f t="shared" si="3"/>
        <v>0</v>
      </c>
    </row>
    <row r="19" spans="1:13">
      <c r="A19" s="266"/>
      <c r="B19" s="269" t="s">
        <v>70</v>
      </c>
      <c r="C19" s="269"/>
      <c r="D19" s="270" t="s">
        <v>71</v>
      </c>
      <c r="E19" s="271">
        <f>E705</f>
        <v>72070000</v>
      </c>
      <c r="F19" s="272">
        <f t="shared" ref="F19" si="26">F705</f>
        <v>-12762767</v>
      </c>
      <c r="G19" s="273">
        <f t="shared" si="2"/>
        <v>59307233</v>
      </c>
      <c r="H19" s="274">
        <f>H705</f>
        <v>62962595</v>
      </c>
      <c r="I19" s="297">
        <f>I705</f>
        <v>66110724.75</v>
      </c>
      <c r="J19" s="280">
        <f>J705</f>
        <v>69416260.9875</v>
      </c>
      <c r="L19" s="299">
        <f>62962595</f>
        <v>62962595</v>
      </c>
      <c r="M19" s="300">
        <f t="shared" si="3"/>
        <v>0</v>
      </c>
    </row>
    <row r="20" spans="1:13">
      <c r="A20" s="266"/>
      <c r="B20" s="269" t="s">
        <v>72</v>
      </c>
      <c r="C20" s="269"/>
      <c r="D20" s="270" t="s">
        <v>73</v>
      </c>
      <c r="E20" s="271">
        <f>E726</f>
        <v>0</v>
      </c>
      <c r="F20" s="272">
        <f>F726</f>
        <v>0</v>
      </c>
      <c r="G20" s="273">
        <f t="shared" si="2"/>
        <v>0</v>
      </c>
      <c r="H20" s="274">
        <f>H726</f>
        <v>26550010</v>
      </c>
      <c r="I20" s="297">
        <f>I726</f>
        <v>27877510.5</v>
      </c>
      <c r="J20" s="280">
        <f>J726</f>
        <v>29271386.025</v>
      </c>
      <c r="L20" s="299">
        <f>26550010</f>
        <v>26550010</v>
      </c>
      <c r="M20" s="300">
        <f t="shared" si="3"/>
        <v>0</v>
      </c>
    </row>
    <row r="21" spans="1:13">
      <c r="A21" s="266"/>
      <c r="B21" s="269" t="s">
        <v>74</v>
      </c>
      <c r="C21" s="269"/>
      <c r="D21" s="270" t="s">
        <v>75</v>
      </c>
      <c r="E21" s="271">
        <f>E747</f>
        <v>33500000</v>
      </c>
      <c r="F21" s="272">
        <f t="shared" ref="F21" si="27">F747</f>
        <v>-10500000</v>
      </c>
      <c r="G21" s="273">
        <f t="shared" si="2"/>
        <v>23000000</v>
      </c>
      <c r="H21" s="274">
        <f>H747</f>
        <v>26050000</v>
      </c>
      <c r="I21" s="297">
        <f>I747</f>
        <v>27352500</v>
      </c>
      <c r="J21" s="280">
        <f>J747</f>
        <v>28720125</v>
      </c>
      <c r="L21" s="299">
        <f>26050000</f>
        <v>26050000</v>
      </c>
      <c r="M21" s="300">
        <f t="shared" si="3"/>
        <v>0</v>
      </c>
    </row>
    <row r="22" spans="1:13">
      <c r="A22" s="266"/>
      <c r="B22" s="269" t="s">
        <v>76</v>
      </c>
      <c r="C22" s="269"/>
      <c r="D22" s="270" t="s">
        <v>77</v>
      </c>
      <c r="E22" s="271">
        <f>E760</f>
        <v>46000000</v>
      </c>
      <c r="F22" s="272">
        <f t="shared" ref="F22" si="28">F760</f>
        <v>5000000</v>
      </c>
      <c r="G22" s="273">
        <f t="shared" si="2"/>
        <v>51000000</v>
      </c>
      <c r="H22" s="274">
        <f>H760</f>
        <v>56700000</v>
      </c>
      <c r="I22" s="297">
        <f>I760</f>
        <v>59535000</v>
      </c>
      <c r="J22" s="280">
        <f>J760</f>
        <v>62511750</v>
      </c>
      <c r="L22" s="299">
        <f>56700000</f>
        <v>56700000</v>
      </c>
      <c r="M22" s="300">
        <f t="shared" si="3"/>
        <v>0</v>
      </c>
    </row>
    <row r="23" spans="1:10">
      <c r="A23" s="275" t="s">
        <v>78</v>
      </c>
      <c r="B23" s="275"/>
      <c r="C23" s="275"/>
      <c r="D23" s="275"/>
      <c r="E23" s="276">
        <f t="shared" ref="E23:J23" si="29">SUM(E6:E22)</f>
        <v>7303482537</v>
      </c>
      <c r="F23" s="276">
        <f t="shared" si="29"/>
        <v>198495625</v>
      </c>
      <c r="G23" s="276">
        <f t="shared" si="29"/>
        <v>7501978162</v>
      </c>
      <c r="H23" s="276">
        <f t="shared" si="29"/>
        <v>7887826592</v>
      </c>
      <c r="I23" s="301">
        <f t="shared" si="29"/>
        <v>8147817921.6</v>
      </c>
      <c r="J23" s="302">
        <f t="shared" si="29"/>
        <v>8439158258.055</v>
      </c>
    </row>
    <row r="24" spans="1:10">
      <c r="A24" s="277"/>
      <c r="B24" s="278"/>
      <c r="C24" s="278"/>
      <c r="D24" s="278"/>
      <c r="E24" s="278"/>
      <c r="F24" s="279"/>
      <c r="G24" s="280"/>
      <c r="H24" s="281"/>
      <c r="I24" s="280"/>
      <c r="J24" s="280"/>
    </row>
    <row r="25" spans="1:10">
      <c r="A25" s="282" t="s">
        <v>79</v>
      </c>
      <c r="B25" s="283" t="s">
        <v>80</v>
      </c>
      <c r="C25" s="284"/>
      <c r="D25" s="284"/>
      <c r="E25" s="284"/>
      <c r="F25" s="284"/>
      <c r="G25" s="284"/>
      <c r="H25" s="285"/>
      <c r="I25" s="303"/>
      <c r="J25" s="303"/>
    </row>
    <row r="26" spans="1:12">
      <c r="A26" s="286" t="s">
        <v>81</v>
      </c>
      <c r="B26" s="287" t="s">
        <v>82</v>
      </c>
      <c r="C26" s="288">
        <v>2110101</v>
      </c>
      <c r="D26" s="289" t="s">
        <v>83</v>
      </c>
      <c r="E26" s="290">
        <v>115821609</v>
      </c>
      <c r="F26" s="291"/>
      <c r="G26" s="273">
        <f t="shared" ref="G26:G62" si="30">E26+F26</f>
        <v>115821609</v>
      </c>
      <c r="H26" s="281">
        <f>125224209</f>
        <v>125224209</v>
      </c>
      <c r="I26" s="280">
        <f>H26*1.05</f>
        <v>131485419.45</v>
      </c>
      <c r="J26" s="280">
        <f>I26*1.05</f>
        <v>138059690.4225</v>
      </c>
      <c r="K26" s="304">
        <v>125224209</v>
      </c>
      <c r="L26" s="305">
        <f>H26-K26</f>
        <v>0</v>
      </c>
    </row>
    <row r="27" ht="24.75" customHeight="1" spans="1:12">
      <c r="A27" s="286"/>
      <c r="B27" s="287"/>
      <c r="C27" s="288">
        <v>2211101</v>
      </c>
      <c r="D27" s="289" t="s">
        <v>84</v>
      </c>
      <c r="E27" s="290">
        <v>2000000</v>
      </c>
      <c r="F27" s="291"/>
      <c r="G27" s="273">
        <f t="shared" si="30"/>
        <v>2000000</v>
      </c>
      <c r="H27" s="281">
        <f>1000000</f>
        <v>1000000</v>
      </c>
      <c r="I27" s="280">
        <f t="shared" ref="I27:J90" si="31">H27*1.05</f>
        <v>1050000</v>
      </c>
      <c r="J27" s="280">
        <f t="shared" si="31"/>
        <v>1102500</v>
      </c>
      <c r="K27" s="304">
        <v>1000000</v>
      </c>
      <c r="L27" s="305">
        <f t="shared" ref="L27:L90" si="32">H27-K27</f>
        <v>0</v>
      </c>
    </row>
    <row r="28" spans="1:12">
      <c r="A28" s="286"/>
      <c r="B28" s="287"/>
      <c r="C28" s="288">
        <v>2210302</v>
      </c>
      <c r="D28" s="289" t="s">
        <v>85</v>
      </c>
      <c r="E28" s="290">
        <v>6500000</v>
      </c>
      <c r="F28" s="291">
        <v>0</v>
      </c>
      <c r="G28" s="273">
        <f t="shared" si="30"/>
        <v>6500000</v>
      </c>
      <c r="H28" s="281">
        <f>1000000</f>
        <v>1000000</v>
      </c>
      <c r="I28" s="280">
        <f t="shared" si="31"/>
        <v>1050000</v>
      </c>
      <c r="J28" s="280">
        <f t="shared" si="31"/>
        <v>1102500</v>
      </c>
      <c r="K28" s="304">
        <v>1000000</v>
      </c>
      <c r="L28" s="305">
        <f t="shared" si="32"/>
        <v>0</v>
      </c>
    </row>
    <row r="29" spans="1:12">
      <c r="A29" s="286"/>
      <c r="B29" s="287"/>
      <c r="C29" s="288">
        <v>2210499</v>
      </c>
      <c r="D29" s="289" t="s">
        <v>86</v>
      </c>
      <c r="E29" s="290">
        <v>20150000</v>
      </c>
      <c r="F29" s="291"/>
      <c r="G29" s="273">
        <f t="shared" si="30"/>
        <v>20150000</v>
      </c>
      <c r="H29" s="281">
        <f>4000000</f>
        <v>4000000</v>
      </c>
      <c r="I29" s="280">
        <f t="shared" si="31"/>
        <v>4200000</v>
      </c>
      <c r="J29" s="280">
        <f t="shared" si="31"/>
        <v>4410000</v>
      </c>
      <c r="K29" s="304">
        <v>4000000</v>
      </c>
      <c r="L29" s="305">
        <f t="shared" si="32"/>
        <v>0</v>
      </c>
    </row>
    <row r="30" spans="1:12">
      <c r="A30" s="286"/>
      <c r="B30" s="287"/>
      <c r="C30" s="288">
        <v>2210502</v>
      </c>
      <c r="D30" s="289" t="s">
        <v>87</v>
      </c>
      <c r="E30" s="290">
        <v>700000</v>
      </c>
      <c r="F30" s="291"/>
      <c r="G30" s="273">
        <f t="shared" si="30"/>
        <v>700000</v>
      </c>
      <c r="H30" s="281">
        <f>1500000</f>
        <v>1500000</v>
      </c>
      <c r="I30" s="280">
        <f t="shared" si="31"/>
        <v>1575000</v>
      </c>
      <c r="J30" s="280">
        <f t="shared" si="31"/>
        <v>1653750</v>
      </c>
      <c r="K30" s="304">
        <v>1500000</v>
      </c>
      <c r="L30" s="305">
        <f t="shared" si="32"/>
        <v>0</v>
      </c>
    </row>
    <row r="31" spans="1:12">
      <c r="A31" s="286"/>
      <c r="B31" s="287"/>
      <c r="C31" s="288">
        <v>2210503</v>
      </c>
      <c r="D31" s="289" t="s">
        <v>88</v>
      </c>
      <c r="E31" s="290">
        <v>220000</v>
      </c>
      <c r="F31" s="291"/>
      <c r="G31" s="273">
        <f t="shared" si="30"/>
        <v>220000</v>
      </c>
      <c r="H31" s="281">
        <v>100000</v>
      </c>
      <c r="I31" s="280">
        <f t="shared" si="31"/>
        <v>105000</v>
      </c>
      <c r="J31" s="280">
        <f t="shared" si="31"/>
        <v>110250</v>
      </c>
      <c r="K31" s="304">
        <v>100000</v>
      </c>
      <c r="L31" s="305">
        <f t="shared" si="32"/>
        <v>0</v>
      </c>
    </row>
    <row r="32" spans="1:12">
      <c r="A32" s="286"/>
      <c r="B32" s="287"/>
      <c r="C32" s="288">
        <v>2210799</v>
      </c>
      <c r="D32" s="289" t="s">
        <v>89</v>
      </c>
      <c r="E32" s="290">
        <v>3000000</v>
      </c>
      <c r="F32" s="291">
        <v>-2000000</v>
      </c>
      <c r="G32" s="273">
        <f t="shared" si="30"/>
        <v>1000000</v>
      </c>
      <c r="H32" s="281">
        <v>1000000</v>
      </c>
      <c r="I32" s="280">
        <f t="shared" si="31"/>
        <v>1050000</v>
      </c>
      <c r="J32" s="280">
        <f t="shared" si="31"/>
        <v>1102500</v>
      </c>
      <c r="K32" s="304">
        <v>1000000</v>
      </c>
      <c r="L32" s="305">
        <f t="shared" si="32"/>
        <v>0</v>
      </c>
    </row>
    <row r="33" spans="1:12">
      <c r="A33" s="286"/>
      <c r="B33" s="287"/>
      <c r="C33" s="288">
        <v>3111001</v>
      </c>
      <c r="D33" s="289" t="s">
        <v>90</v>
      </c>
      <c r="E33" s="290"/>
      <c r="F33" s="291"/>
      <c r="G33" s="273"/>
      <c r="H33" s="281">
        <v>2000000</v>
      </c>
      <c r="I33" s="280">
        <f t="shared" si="31"/>
        <v>2100000</v>
      </c>
      <c r="J33" s="280">
        <f t="shared" si="31"/>
        <v>2205000</v>
      </c>
      <c r="K33" s="304">
        <v>2000000</v>
      </c>
      <c r="L33" s="305">
        <f t="shared" si="32"/>
        <v>0</v>
      </c>
    </row>
    <row r="34" spans="1:12">
      <c r="A34" s="286"/>
      <c r="B34" s="287"/>
      <c r="C34" s="288">
        <v>2211103</v>
      </c>
      <c r="D34" s="289" t="s">
        <v>91</v>
      </c>
      <c r="E34" s="290"/>
      <c r="F34" s="291"/>
      <c r="G34" s="273"/>
      <c r="H34" s="281">
        <v>1000000</v>
      </c>
      <c r="I34" s="280">
        <f t="shared" si="31"/>
        <v>1050000</v>
      </c>
      <c r="J34" s="280">
        <f t="shared" si="31"/>
        <v>1102500</v>
      </c>
      <c r="K34" s="304">
        <v>1000000</v>
      </c>
      <c r="L34" s="305">
        <f t="shared" si="32"/>
        <v>0</v>
      </c>
    </row>
    <row r="35" spans="1:12">
      <c r="A35" s="286"/>
      <c r="B35" s="287"/>
      <c r="C35" s="288">
        <v>2210399</v>
      </c>
      <c r="D35" s="289" t="s">
        <v>92</v>
      </c>
      <c r="E35" s="290">
        <v>4000000</v>
      </c>
      <c r="F35" s="291"/>
      <c r="G35" s="273">
        <f t="shared" si="30"/>
        <v>4000000</v>
      </c>
      <c r="H35" s="281">
        <f>2000000</f>
        <v>2000000</v>
      </c>
      <c r="I35" s="280">
        <f t="shared" si="31"/>
        <v>2100000</v>
      </c>
      <c r="J35" s="280">
        <f t="shared" si="31"/>
        <v>2205000</v>
      </c>
      <c r="K35" s="304">
        <v>8000000</v>
      </c>
      <c r="L35" s="305">
        <f t="shared" si="32"/>
        <v>-6000000</v>
      </c>
    </row>
    <row r="36" spans="1:12">
      <c r="A36" s="286"/>
      <c r="B36" s="287"/>
      <c r="C36" s="288">
        <v>2210899</v>
      </c>
      <c r="D36" s="289" t="s">
        <v>93</v>
      </c>
      <c r="E36" s="290">
        <v>2700000</v>
      </c>
      <c r="F36" s="291"/>
      <c r="G36" s="273">
        <f t="shared" si="30"/>
        <v>2700000</v>
      </c>
      <c r="H36" s="281">
        <v>2000000</v>
      </c>
      <c r="I36" s="280">
        <f t="shared" si="31"/>
        <v>2100000</v>
      </c>
      <c r="J36" s="280">
        <f t="shared" si="31"/>
        <v>2205000</v>
      </c>
      <c r="K36" s="304">
        <v>2000000</v>
      </c>
      <c r="L36" s="305">
        <f t="shared" si="32"/>
        <v>0</v>
      </c>
    </row>
    <row r="37" spans="1:12">
      <c r="A37" s="286"/>
      <c r="B37" s="287"/>
      <c r="C37" s="288">
        <v>2210802</v>
      </c>
      <c r="D37" s="289" t="s">
        <v>94</v>
      </c>
      <c r="E37" s="290">
        <v>2000000</v>
      </c>
      <c r="F37" s="291">
        <v>-1000000</v>
      </c>
      <c r="G37" s="273">
        <f t="shared" si="30"/>
        <v>1000000</v>
      </c>
      <c r="H37" s="281">
        <v>1000000</v>
      </c>
      <c r="I37" s="280">
        <f t="shared" si="31"/>
        <v>1050000</v>
      </c>
      <c r="J37" s="280">
        <f t="shared" si="31"/>
        <v>1102500</v>
      </c>
      <c r="K37" s="304">
        <v>1000000</v>
      </c>
      <c r="L37" s="305">
        <f t="shared" si="32"/>
        <v>0</v>
      </c>
    </row>
    <row r="38" spans="1:12">
      <c r="A38" s="286"/>
      <c r="B38" s="287"/>
      <c r="C38" s="292">
        <v>2211399</v>
      </c>
      <c r="D38" s="289" t="s">
        <v>95</v>
      </c>
      <c r="E38" s="290"/>
      <c r="F38" s="291"/>
      <c r="G38" s="273"/>
      <c r="H38" s="281">
        <v>2000000</v>
      </c>
      <c r="I38" s="280">
        <f t="shared" si="31"/>
        <v>2100000</v>
      </c>
      <c r="J38" s="280">
        <f t="shared" si="31"/>
        <v>2205000</v>
      </c>
      <c r="K38" s="304">
        <v>2000000</v>
      </c>
      <c r="L38" s="305">
        <f t="shared" si="32"/>
        <v>0</v>
      </c>
    </row>
    <row r="39" spans="1:12">
      <c r="A39" s="286"/>
      <c r="B39" s="287"/>
      <c r="C39" s="288">
        <v>2220101</v>
      </c>
      <c r="D39" s="289" t="s">
        <v>96</v>
      </c>
      <c r="E39" s="290"/>
      <c r="F39" s="291"/>
      <c r="G39" s="273"/>
      <c r="H39" s="281">
        <v>2000000</v>
      </c>
      <c r="I39" s="280">
        <f t="shared" si="31"/>
        <v>2100000</v>
      </c>
      <c r="J39" s="280">
        <f t="shared" si="31"/>
        <v>2205000</v>
      </c>
      <c r="K39" s="304">
        <v>2000000</v>
      </c>
      <c r="L39" s="305">
        <f t="shared" si="32"/>
        <v>0</v>
      </c>
    </row>
    <row r="40" spans="1:12">
      <c r="A40" s="286"/>
      <c r="B40" s="287"/>
      <c r="C40" s="288">
        <v>2210309</v>
      </c>
      <c r="D40" s="289" t="s">
        <v>97</v>
      </c>
      <c r="E40" s="290">
        <v>4000000</v>
      </c>
      <c r="F40" s="291">
        <v>-1000000</v>
      </c>
      <c r="G40" s="273">
        <f t="shared" si="30"/>
        <v>3000000</v>
      </c>
      <c r="H40" s="281">
        <v>21000000</v>
      </c>
      <c r="I40" s="280">
        <f t="shared" si="31"/>
        <v>22050000</v>
      </c>
      <c r="J40" s="280">
        <f t="shared" si="31"/>
        <v>23152500</v>
      </c>
      <c r="K40" s="304">
        <v>21000000</v>
      </c>
      <c r="L40" s="305">
        <f t="shared" si="32"/>
        <v>0</v>
      </c>
    </row>
    <row r="41" spans="1:12">
      <c r="A41" s="286"/>
      <c r="B41" s="287"/>
      <c r="C41" s="288"/>
      <c r="D41" s="289" t="s">
        <v>98</v>
      </c>
      <c r="E41" s="290">
        <v>1000000</v>
      </c>
      <c r="F41" s="291">
        <v>3000000</v>
      </c>
      <c r="G41" s="273">
        <f t="shared" si="30"/>
        <v>4000000</v>
      </c>
      <c r="H41" s="281"/>
      <c r="I41" s="280">
        <f t="shared" si="31"/>
        <v>0</v>
      </c>
      <c r="J41" s="280">
        <f t="shared" si="31"/>
        <v>0</v>
      </c>
      <c r="K41" s="304"/>
      <c r="L41" s="305">
        <f t="shared" si="32"/>
        <v>0</v>
      </c>
    </row>
    <row r="42" spans="1:12">
      <c r="A42" s="286"/>
      <c r="B42" s="287"/>
      <c r="C42" s="288"/>
      <c r="D42" s="289" t="s">
        <v>99</v>
      </c>
      <c r="E42" s="290">
        <f>10000000</f>
        <v>10000000</v>
      </c>
      <c r="F42" s="291">
        <v>-5000000</v>
      </c>
      <c r="G42" s="273">
        <f t="shared" si="30"/>
        <v>5000000</v>
      </c>
      <c r="H42" s="281"/>
      <c r="I42" s="280">
        <f t="shared" si="31"/>
        <v>0</v>
      </c>
      <c r="J42" s="280">
        <f t="shared" si="31"/>
        <v>0</v>
      </c>
      <c r="K42" s="304"/>
      <c r="L42" s="305">
        <f t="shared" si="32"/>
        <v>0</v>
      </c>
    </row>
    <row r="43" spans="1:12">
      <c r="A43" s="286"/>
      <c r="B43" s="287"/>
      <c r="C43" s="288">
        <v>2211299</v>
      </c>
      <c r="D43" s="289" t="s">
        <v>100</v>
      </c>
      <c r="E43" s="290">
        <v>2500000</v>
      </c>
      <c r="F43" s="291"/>
      <c r="G43" s="273">
        <f t="shared" si="30"/>
        <v>2500000</v>
      </c>
      <c r="H43" s="281">
        <v>2000000</v>
      </c>
      <c r="I43" s="280">
        <f t="shared" si="31"/>
        <v>2100000</v>
      </c>
      <c r="J43" s="280">
        <f t="shared" si="31"/>
        <v>2205000</v>
      </c>
      <c r="K43" s="304">
        <v>2000000</v>
      </c>
      <c r="L43" s="305">
        <f t="shared" si="32"/>
        <v>0</v>
      </c>
    </row>
    <row r="44" spans="1:12">
      <c r="A44" s="286"/>
      <c r="B44" s="287" t="s">
        <v>101</v>
      </c>
      <c r="C44" s="288"/>
      <c r="D44" s="289" t="s">
        <v>99</v>
      </c>
      <c r="E44" s="290">
        <v>10000000</v>
      </c>
      <c r="F44" s="291">
        <v>-5000000</v>
      </c>
      <c r="G44" s="273">
        <f t="shared" si="30"/>
        <v>5000000</v>
      </c>
      <c r="H44" s="281"/>
      <c r="I44" s="280">
        <f t="shared" si="31"/>
        <v>0</v>
      </c>
      <c r="J44" s="280">
        <f t="shared" si="31"/>
        <v>0</v>
      </c>
      <c r="K44" s="304"/>
      <c r="L44" s="305">
        <f t="shared" si="32"/>
        <v>0</v>
      </c>
    </row>
    <row r="45" spans="1:12">
      <c r="A45" s="286"/>
      <c r="B45" s="287"/>
      <c r="C45" s="292">
        <v>2211199</v>
      </c>
      <c r="D45" s="289" t="s">
        <v>102</v>
      </c>
      <c r="E45" s="290">
        <v>1000000</v>
      </c>
      <c r="F45" s="291"/>
      <c r="G45" s="273">
        <f t="shared" si="30"/>
        <v>1000000</v>
      </c>
      <c r="H45" s="281">
        <v>9000000</v>
      </c>
      <c r="I45" s="280">
        <f t="shared" si="31"/>
        <v>9450000</v>
      </c>
      <c r="J45" s="280">
        <f t="shared" si="31"/>
        <v>9922500</v>
      </c>
      <c r="K45" s="304">
        <v>9000000</v>
      </c>
      <c r="L45" s="305">
        <f t="shared" si="32"/>
        <v>0</v>
      </c>
    </row>
    <row r="46" spans="1:12">
      <c r="A46" s="286"/>
      <c r="B46" s="287"/>
      <c r="C46" s="288">
        <v>2210899</v>
      </c>
      <c r="D46" s="289" t="s">
        <v>103</v>
      </c>
      <c r="E46" s="290">
        <v>1000000</v>
      </c>
      <c r="F46" s="291">
        <v>1500000</v>
      </c>
      <c r="G46" s="273">
        <f t="shared" si="30"/>
        <v>2500000</v>
      </c>
      <c r="H46" s="281">
        <v>3000000</v>
      </c>
      <c r="I46" s="280">
        <f t="shared" si="31"/>
        <v>3150000</v>
      </c>
      <c r="J46" s="280">
        <f t="shared" si="31"/>
        <v>3307500</v>
      </c>
      <c r="K46" s="304">
        <v>3000000</v>
      </c>
      <c r="L46" s="305">
        <f t="shared" si="32"/>
        <v>0</v>
      </c>
    </row>
    <row r="47" spans="1:12">
      <c r="A47" s="286"/>
      <c r="B47" s="287"/>
      <c r="C47" s="288">
        <v>2210802</v>
      </c>
      <c r="D47" s="289" t="s">
        <v>94</v>
      </c>
      <c r="E47" s="290">
        <v>3500000</v>
      </c>
      <c r="F47" s="291">
        <v>-1000000</v>
      </c>
      <c r="G47" s="273">
        <f t="shared" si="30"/>
        <v>2500000</v>
      </c>
      <c r="H47" s="281">
        <v>1000000</v>
      </c>
      <c r="I47" s="280">
        <f t="shared" si="31"/>
        <v>1050000</v>
      </c>
      <c r="J47" s="280">
        <f t="shared" si="31"/>
        <v>1102500</v>
      </c>
      <c r="K47" s="304">
        <v>1000000</v>
      </c>
      <c r="L47" s="305">
        <f t="shared" si="32"/>
        <v>0</v>
      </c>
    </row>
    <row r="48" spans="1:12">
      <c r="A48" s="286"/>
      <c r="B48" s="287"/>
      <c r="C48" s="288">
        <v>2211399</v>
      </c>
      <c r="D48" s="289" t="s">
        <v>104</v>
      </c>
      <c r="E48" s="290"/>
      <c r="F48" s="291"/>
      <c r="G48" s="273"/>
      <c r="H48" s="281">
        <v>2000000</v>
      </c>
      <c r="I48" s="280">
        <f t="shared" si="31"/>
        <v>2100000</v>
      </c>
      <c r="J48" s="280">
        <f t="shared" si="31"/>
        <v>2205000</v>
      </c>
      <c r="K48" s="304">
        <v>2000000</v>
      </c>
      <c r="L48" s="305">
        <f t="shared" si="32"/>
        <v>0</v>
      </c>
    </row>
    <row r="49" spans="1:12">
      <c r="A49" s="286"/>
      <c r="B49" s="287"/>
      <c r="C49" s="288"/>
      <c r="D49" s="289" t="s">
        <v>105</v>
      </c>
      <c r="E49" s="290">
        <v>1000000</v>
      </c>
      <c r="F49" s="291">
        <v>-800000</v>
      </c>
      <c r="G49" s="273">
        <f t="shared" si="30"/>
        <v>200000</v>
      </c>
      <c r="H49" s="281"/>
      <c r="I49" s="280">
        <f t="shared" si="31"/>
        <v>0</v>
      </c>
      <c r="J49" s="280">
        <f t="shared" si="31"/>
        <v>0</v>
      </c>
      <c r="K49" s="304"/>
      <c r="L49" s="305">
        <f t="shared" si="32"/>
        <v>0</v>
      </c>
    </row>
    <row r="50" spans="1:12">
      <c r="A50" s="286"/>
      <c r="B50" s="287"/>
      <c r="C50" s="288"/>
      <c r="D50" s="289" t="s">
        <v>106</v>
      </c>
      <c r="E50" s="290">
        <v>1000000</v>
      </c>
      <c r="F50" s="291"/>
      <c r="G50" s="273">
        <f t="shared" si="30"/>
        <v>1000000</v>
      </c>
      <c r="H50" s="281"/>
      <c r="I50" s="280">
        <f t="shared" si="31"/>
        <v>0</v>
      </c>
      <c r="J50" s="280">
        <f t="shared" si="31"/>
        <v>0</v>
      </c>
      <c r="K50" s="304"/>
      <c r="L50" s="305">
        <f t="shared" si="32"/>
        <v>0</v>
      </c>
    </row>
    <row r="51" spans="1:12">
      <c r="A51" s="286"/>
      <c r="B51" s="287"/>
      <c r="C51" s="288"/>
      <c r="D51" s="289" t="s">
        <v>107</v>
      </c>
      <c r="E51" s="290">
        <v>4000000</v>
      </c>
      <c r="F51" s="291">
        <v>-2000000</v>
      </c>
      <c r="G51" s="273">
        <f t="shared" si="30"/>
        <v>2000000</v>
      </c>
      <c r="H51" s="281"/>
      <c r="I51" s="280">
        <f t="shared" si="31"/>
        <v>0</v>
      </c>
      <c r="J51" s="280">
        <f t="shared" si="31"/>
        <v>0</v>
      </c>
      <c r="K51" s="304"/>
      <c r="L51" s="305">
        <f t="shared" si="32"/>
        <v>0</v>
      </c>
    </row>
    <row r="52" spans="1:12">
      <c r="A52" s="286"/>
      <c r="B52" s="287"/>
      <c r="C52" s="288">
        <v>2211016</v>
      </c>
      <c r="D52" s="289" t="s">
        <v>108</v>
      </c>
      <c r="E52" s="290">
        <v>1000000</v>
      </c>
      <c r="F52" s="291"/>
      <c r="G52" s="273">
        <f t="shared" si="30"/>
        <v>1000000</v>
      </c>
      <c r="H52" s="281">
        <v>1000000</v>
      </c>
      <c r="I52" s="280">
        <f t="shared" si="31"/>
        <v>1050000</v>
      </c>
      <c r="J52" s="280">
        <f t="shared" si="31"/>
        <v>1102500</v>
      </c>
      <c r="K52" s="304">
        <v>1000000</v>
      </c>
      <c r="L52" s="305">
        <f t="shared" si="32"/>
        <v>0</v>
      </c>
    </row>
    <row r="53" ht="25.5" customHeight="1" spans="1:12">
      <c r="A53" s="286"/>
      <c r="B53" s="287"/>
      <c r="C53" s="288">
        <v>2211101</v>
      </c>
      <c r="D53" s="289" t="s">
        <v>84</v>
      </c>
      <c r="E53" s="290">
        <v>1500000</v>
      </c>
      <c r="F53" s="291"/>
      <c r="G53" s="273">
        <f t="shared" si="30"/>
        <v>1500000</v>
      </c>
      <c r="H53" s="281">
        <v>2000000</v>
      </c>
      <c r="I53" s="280">
        <f t="shared" si="31"/>
        <v>2100000</v>
      </c>
      <c r="J53" s="280">
        <f t="shared" si="31"/>
        <v>2205000</v>
      </c>
      <c r="K53" s="304">
        <v>2000000</v>
      </c>
      <c r="L53" s="305">
        <f t="shared" si="32"/>
        <v>0</v>
      </c>
    </row>
    <row r="54" spans="1:12">
      <c r="A54" s="286"/>
      <c r="B54" s="287"/>
      <c r="C54" s="288">
        <v>2211016</v>
      </c>
      <c r="D54" s="289" t="s">
        <v>109</v>
      </c>
      <c r="E54" s="290"/>
      <c r="F54" s="291"/>
      <c r="G54" s="273"/>
      <c r="H54" s="281">
        <v>1500000</v>
      </c>
      <c r="I54" s="280">
        <f t="shared" si="31"/>
        <v>1575000</v>
      </c>
      <c r="J54" s="280">
        <f t="shared" si="31"/>
        <v>1653750</v>
      </c>
      <c r="K54" s="304">
        <v>1500000</v>
      </c>
      <c r="L54" s="305">
        <f t="shared" si="32"/>
        <v>0</v>
      </c>
    </row>
    <row r="55" spans="1:12">
      <c r="A55" s="286"/>
      <c r="B55" s="287"/>
      <c r="C55" s="288"/>
      <c r="D55" s="289" t="s">
        <v>110</v>
      </c>
      <c r="E55" s="290">
        <v>3000000</v>
      </c>
      <c r="F55" s="291"/>
      <c r="G55" s="273">
        <f t="shared" si="30"/>
        <v>3000000</v>
      </c>
      <c r="H55" s="281"/>
      <c r="I55" s="280">
        <f t="shared" si="31"/>
        <v>0</v>
      </c>
      <c r="J55" s="280">
        <f t="shared" si="31"/>
        <v>0</v>
      </c>
      <c r="K55" s="304"/>
      <c r="L55" s="305">
        <f t="shared" si="32"/>
        <v>0</v>
      </c>
    </row>
    <row r="56" spans="1:12">
      <c r="A56" s="286"/>
      <c r="B56" s="287"/>
      <c r="C56" s="288">
        <v>2211102</v>
      </c>
      <c r="D56" s="289" t="s">
        <v>111</v>
      </c>
      <c r="E56" s="290">
        <v>2000000</v>
      </c>
      <c r="F56" s="291"/>
      <c r="G56" s="273">
        <f t="shared" si="30"/>
        <v>2000000</v>
      </c>
      <c r="H56" s="281">
        <v>1000000</v>
      </c>
      <c r="I56" s="280">
        <f t="shared" si="31"/>
        <v>1050000</v>
      </c>
      <c r="J56" s="280">
        <f t="shared" si="31"/>
        <v>1102500</v>
      </c>
      <c r="K56" s="304">
        <v>1000000</v>
      </c>
      <c r="L56" s="305">
        <f t="shared" si="32"/>
        <v>0</v>
      </c>
    </row>
    <row r="57" spans="1:12">
      <c r="A57" s="286"/>
      <c r="B57" s="287"/>
      <c r="C57" s="288">
        <v>2211299</v>
      </c>
      <c r="D57" s="289" t="s">
        <v>100</v>
      </c>
      <c r="E57" s="290">
        <v>2000000</v>
      </c>
      <c r="F57" s="291"/>
      <c r="G57" s="273">
        <f t="shared" si="30"/>
        <v>2000000</v>
      </c>
      <c r="H57" s="281">
        <v>1000000</v>
      </c>
      <c r="I57" s="280">
        <f t="shared" si="31"/>
        <v>1050000</v>
      </c>
      <c r="J57" s="280">
        <f t="shared" si="31"/>
        <v>1102500</v>
      </c>
      <c r="K57" s="304">
        <v>1000000</v>
      </c>
      <c r="L57" s="305">
        <f t="shared" si="32"/>
        <v>0</v>
      </c>
    </row>
    <row r="58" spans="1:12">
      <c r="A58" s="286"/>
      <c r="B58" s="287"/>
      <c r="C58" s="288">
        <v>2210310</v>
      </c>
      <c r="D58" s="289" t="s">
        <v>112</v>
      </c>
      <c r="E58" s="290">
        <v>10000000</v>
      </c>
      <c r="F58" s="291">
        <v>-3000000</v>
      </c>
      <c r="G58" s="273">
        <f t="shared" si="30"/>
        <v>7000000</v>
      </c>
      <c r="H58" s="281">
        <v>3000000</v>
      </c>
      <c r="I58" s="280">
        <f t="shared" si="31"/>
        <v>3150000</v>
      </c>
      <c r="J58" s="280">
        <f t="shared" si="31"/>
        <v>3307500</v>
      </c>
      <c r="K58" s="304">
        <v>3000000</v>
      </c>
      <c r="L58" s="305">
        <f t="shared" si="32"/>
        <v>0</v>
      </c>
    </row>
    <row r="59" spans="1:12">
      <c r="A59" s="286"/>
      <c r="B59" s="287"/>
      <c r="C59" s="288">
        <v>2211103</v>
      </c>
      <c r="D59" s="289" t="s">
        <v>91</v>
      </c>
      <c r="E59" s="290"/>
      <c r="F59" s="291"/>
      <c r="G59" s="273"/>
      <c r="H59" s="281">
        <v>1000000</v>
      </c>
      <c r="I59" s="280">
        <f t="shared" si="31"/>
        <v>1050000</v>
      </c>
      <c r="J59" s="280">
        <f t="shared" si="31"/>
        <v>1102500</v>
      </c>
      <c r="K59" s="304">
        <v>1000000</v>
      </c>
      <c r="L59" s="305">
        <f t="shared" si="32"/>
        <v>0</v>
      </c>
    </row>
    <row r="60" spans="1:12">
      <c r="A60" s="286"/>
      <c r="B60" s="287"/>
      <c r="C60" s="288"/>
      <c r="D60" s="289" t="s">
        <v>113</v>
      </c>
      <c r="E60" s="290"/>
      <c r="F60" s="291"/>
      <c r="G60" s="273">
        <f t="shared" si="30"/>
        <v>0</v>
      </c>
      <c r="H60" s="281"/>
      <c r="I60" s="280">
        <f t="shared" si="31"/>
        <v>0</v>
      </c>
      <c r="J60" s="280">
        <f t="shared" si="31"/>
        <v>0</v>
      </c>
      <c r="K60" s="304"/>
      <c r="L60" s="305">
        <f t="shared" si="32"/>
        <v>0</v>
      </c>
    </row>
    <row r="61" ht="42" spans="1:12">
      <c r="A61" s="286"/>
      <c r="B61" s="287"/>
      <c r="C61" s="288">
        <v>2211306</v>
      </c>
      <c r="D61" s="289" t="s">
        <v>114</v>
      </c>
      <c r="E61" s="290">
        <v>400000</v>
      </c>
      <c r="F61" s="291">
        <v>-200000</v>
      </c>
      <c r="G61" s="273">
        <f t="shared" si="30"/>
        <v>200000</v>
      </c>
      <c r="H61" s="281">
        <v>200000</v>
      </c>
      <c r="I61" s="280">
        <f t="shared" si="31"/>
        <v>210000</v>
      </c>
      <c r="J61" s="280">
        <f t="shared" si="31"/>
        <v>220500</v>
      </c>
      <c r="K61" s="304">
        <v>200000</v>
      </c>
      <c r="L61" s="305">
        <f t="shared" si="32"/>
        <v>0</v>
      </c>
    </row>
    <row r="62" spans="1:12">
      <c r="A62" s="286"/>
      <c r="B62" s="287"/>
      <c r="C62" s="288">
        <v>3111002</v>
      </c>
      <c r="D62" s="289" t="s">
        <v>115</v>
      </c>
      <c r="E62" s="290">
        <v>1500000</v>
      </c>
      <c r="F62" s="291"/>
      <c r="G62" s="273">
        <f t="shared" si="30"/>
        <v>1500000</v>
      </c>
      <c r="H62" s="281">
        <v>1500000</v>
      </c>
      <c r="I62" s="280">
        <f t="shared" si="31"/>
        <v>1575000</v>
      </c>
      <c r="J62" s="280">
        <f t="shared" si="31"/>
        <v>1653750</v>
      </c>
      <c r="K62" s="304">
        <v>1500000</v>
      </c>
      <c r="L62" s="305">
        <f t="shared" si="32"/>
        <v>0</v>
      </c>
    </row>
    <row r="63" spans="1:12">
      <c r="A63" s="286"/>
      <c r="B63" s="287"/>
      <c r="C63" s="288">
        <v>2211313</v>
      </c>
      <c r="D63" s="289" t="s">
        <v>116</v>
      </c>
      <c r="E63" s="290">
        <v>48000000</v>
      </c>
      <c r="F63" s="291"/>
      <c r="G63" s="273">
        <f t="shared" ref="G63:G101" si="33">E63+F63</f>
        <v>48000000</v>
      </c>
      <c r="H63" s="281">
        <f>25000000</f>
        <v>25000000</v>
      </c>
      <c r="I63" s="280">
        <f t="shared" si="31"/>
        <v>26250000</v>
      </c>
      <c r="J63" s="280">
        <f t="shared" si="31"/>
        <v>27562500</v>
      </c>
      <c r="K63" s="304">
        <v>25000000</v>
      </c>
      <c r="L63" s="305">
        <f t="shared" si="32"/>
        <v>0</v>
      </c>
    </row>
    <row r="64" spans="1:12">
      <c r="A64" s="286"/>
      <c r="B64" s="287"/>
      <c r="C64" s="288">
        <v>2211103</v>
      </c>
      <c r="D64" s="289" t="s">
        <v>117</v>
      </c>
      <c r="E64" s="290">
        <v>500000</v>
      </c>
      <c r="F64" s="291"/>
      <c r="G64" s="273">
        <f t="shared" si="33"/>
        <v>500000</v>
      </c>
      <c r="H64" s="281">
        <v>1500000</v>
      </c>
      <c r="I64" s="280">
        <f t="shared" si="31"/>
        <v>1575000</v>
      </c>
      <c r="J64" s="280">
        <f t="shared" si="31"/>
        <v>1653750</v>
      </c>
      <c r="K64" s="304">
        <v>1500000</v>
      </c>
      <c r="L64" s="305">
        <f t="shared" si="32"/>
        <v>0</v>
      </c>
    </row>
    <row r="65" spans="1:12">
      <c r="A65" s="286"/>
      <c r="B65" s="287"/>
      <c r="C65" s="288">
        <v>311101</v>
      </c>
      <c r="D65" s="289" t="s">
        <v>118</v>
      </c>
      <c r="E65" s="290">
        <v>1100000</v>
      </c>
      <c r="F65" s="291"/>
      <c r="G65" s="273">
        <f t="shared" si="33"/>
        <v>1100000</v>
      </c>
      <c r="H65" s="281">
        <v>1000000</v>
      </c>
      <c r="I65" s="280">
        <f t="shared" si="31"/>
        <v>1050000</v>
      </c>
      <c r="J65" s="280">
        <f t="shared" si="31"/>
        <v>1102500</v>
      </c>
      <c r="K65" s="304">
        <v>1000000</v>
      </c>
      <c r="L65" s="305">
        <f t="shared" si="32"/>
        <v>0</v>
      </c>
    </row>
    <row r="66" spans="1:12">
      <c r="A66" s="286"/>
      <c r="B66" s="287"/>
      <c r="C66" s="288">
        <v>2640402</v>
      </c>
      <c r="D66" s="289" t="s">
        <v>119</v>
      </c>
      <c r="E66" s="290">
        <v>1500000</v>
      </c>
      <c r="F66" s="291"/>
      <c r="G66" s="273">
        <f t="shared" si="33"/>
        <v>1500000</v>
      </c>
      <c r="H66" s="281">
        <v>2000000</v>
      </c>
      <c r="I66" s="280">
        <f t="shared" si="31"/>
        <v>2100000</v>
      </c>
      <c r="J66" s="280">
        <f t="shared" si="31"/>
        <v>2205000</v>
      </c>
      <c r="K66" s="304">
        <v>2000000</v>
      </c>
      <c r="L66" s="305">
        <f t="shared" si="32"/>
        <v>0</v>
      </c>
    </row>
    <row r="67" spans="1:12">
      <c r="A67" s="286"/>
      <c r="B67" s="287"/>
      <c r="C67" s="288">
        <v>2220202</v>
      </c>
      <c r="D67" s="289" t="s">
        <v>120</v>
      </c>
      <c r="E67" s="290"/>
      <c r="F67" s="291"/>
      <c r="G67" s="273"/>
      <c r="H67" s="281">
        <v>500000</v>
      </c>
      <c r="I67" s="280">
        <f t="shared" si="31"/>
        <v>525000</v>
      </c>
      <c r="J67" s="280">
        <f t="shared" si="31"/>
        <v>551250</v>
      </c>
      <c r="K67" s="304">
        <v>500000</v>
      </c>
      <c r="L67" s="305">
        <f t="shared" si="32"/>
        <v>0</v>
      </c>
    </row>
    <row r="68" spans="1:12">
      <c r="A68" s="286"/>
      <c r="B68" s="287"/>
      <c r="C68" s="288">
        <v>2210309</v>
      </c>
      <c r="D68" s="289" t="s">
        <v>121</v>
      </c>
      <c r="E68" s="290"/>
      <c r="F68" s="291"/>
      <c r="G68" s="273"/>
      <c r="H68" s="281">
        <v>1000000</v>
      </c>
      <c r="I68" s="280">
        <f t="shared" si="31"/>
        <v>1050000</v>
      </c>
      <c r="J68" s="280">
        <f t="shared" si="31"/>
        <v>1102500</v>
      </c>
      <c r="K68" s="304">
        <v>1000000</v>
      </c>
      <c r="L68" s="305">
        <f t="shared" si="32"/>
        <v>0</v>
      </c>
    </row>
    <row r="69" spans="1:12">
      <c r="A69" s="286"/>
      <c r="B69" s="287"/>
      <c r="C69" s="288"/>
      <c r="D69" s="289" t="s">
        <v>122</v>
      </c>
      <c r="E69" s="290">
        <v>530000</v>
      </c>
      <c r="F69" s="291"/>
      <c r="G69" s="273">
        <f t="shared" si="33"/>
        <v>530000</v>
      </c>
      <c r="H69" s="281"/>
      <c r="I69" s="280">
        <f t="shared" si="31"/>
        <v>0</v>
      </c>
      <c r="J69" s="280">
        <f t="shared" si="31"/>
        <v>0</v>
      </c>
      <c r="K69" s="304"/>
      <c r="L69" s="305">
        <f t="shared" si="32"/>
        <v>0</v>
      </c>
    </row>
    <row r="70" customHeight="1" spans="1:12">
      <c r="A70" s="286"/>
      <c r="B70" s="287"/>
      <c r="C70" s="288"/>
      <c r="D70" s="289" t="s">
        <v>123</v>
      </c>
      <c r="E70" s="290">
        <v>3000000</v>
      </c>
      <c r="F70" s="291"/>
      <c r="G70" s="273">
        <f t="shared" si="33"/>
        <v>3000000</v>
      </c>
      <c r="H70" s="281"/>
      <c r="I70" s="280">
        <f t="shared" si="31"/>
        <v>0</v>
      </c>
      <c r="J70" s="280">
        <f t="shared" si="31"/>
        <v>0</v>
      </c>
      <c r="K70" s="304"/>
      <c r="L70" s="305">
        <f t="shared" si="32"/>
        <v>0</v>
      </c>
    </row>
    <row r="71" spans="1:12">
      <c r="A71" s="286"/>
      <c r="B71" s="287" t="s">
        <v>124</v>
      </c>
      <c r="C71" s="288">
        <v>2210302</v>
      </c>
      <c r="D71" s="289" t="s">
        <v>85</v>
      </c>
      <c r="E71" s="290">
        <v>2000000</v>
      </c>
      <c r="F71" s="291"/>
      <c r="G71" s="273">
        <f t="shared" si="33"/>
        <v>2000000</v>
      </c>
      <c r="H71" s="281">
        <v>2000000</v>
      </c>
      <c r="I71" s="280">
        <f t="shared" si="31"/>
        <v>2100000</v>
      </c>
      <c r="J71" s="280">
        <f t="shared" si="31"/>
        <v>2205000</v>
      </c>
      <c r="K71" s="304">
        <v>2000000</v>
      </c>
      <c r="L71" s="305">
        <f t="shared" si="32"/>
        <v>0</v>
      </c>
    </row>
    <row r="72" spans="1:12">
      <c r="A72" s="286"/>
      <c r="B72" s="287"/>
      <c r="C72" s="288">
        <v>2210899</v>
      </c>
      <c r="D72" s="289" t="s">
        <v>125</v>
      </c>
      <c r="E72" s="290">
        <v>1000000</v>
      </c>
      <c r="F72" s="291"/>
      <c r="G72" s="273">
        <f t="shared" si="33"/>
        <v>1000000</v>
      </c>
      <c r="H72" s="281">
        <v>1500000</v>
      </c>
      <c r="I72" s="280">
        <f t="shared" si="31"/>
        <v>1575000</v>
      </c>
      <c r="J72" s="280">
        <f t="shared" si="31"/>
        <v>1653750</v>
      </c>
      <c r="K72" s="304">
        <v>1500000</v>
      </c>
      <c r="L72" s="305">
        <f t="shared" si="32"/>
        <v>0</v>
      </c>
    </row>
    <row r="73" spans="1:12">
      <c r="A73" s="286"/>
      <c r="B73" s="287"/>
      <c r="C73" s="288">
        <v>2211199</v>
      </c>
      <c r="D73" s="289" t="s">
        <v>126</v>
      </c>
      <c r="E73" s="290">
        <v>1000000</v>
      </c>
      <c r="F73" s="291"/>
      <c r="G73" s="273">
        <f t="shared" si="33"/>
        <v>1000000</v>
      </c>
      <c r="H73" s="281">
        <v>1500000</v>
      </c>
      <c r="I73" s="280">
        <f t="shared" si="31"/>
        <v>1575000</v>
      </c>
      <c r="J73" s="280">
        <f t="shared" si="31"/>
        <v>1653750</v>
      </c>
      <c r="K73" s="304">
        <v>1500000</v>
      </c>
      <c r="L73" s="305">
        <f t="shared" si="32"/>
        <v>0</v>
      </c>
    </row>
    <row r="74" spans="1:12">
      <c r="A74" s="286"/>
      <c r="B74" s="287"/>
      <c r="C74" s="288"/>
      <c r="D74" s="289" t="s">
        <v>127</v>
      </c>
      <c r="E74" s="290">
        <v>1000000</v>
      </c>
      <c r="F74" s="291"/>
      <c r="G74" s="273">
        <f t="shared" si="33"/>
        <v>1000000</v>
      </c>
      <c r="H74" s="281"/>
      <c r="I74" s="280">
        <f t="shared" si="31"/>
        <v>0</v>
      </c>
      <c r="J74" s="280">
        <f t="shared" si="31"/>
        <v>0</v>
      </c>
      <c r="K74" s="304"/>
      <c r="L74" s="305">
        <f t="shared" si="32"/>
        <v>0</v>
      </c>
    </row>
    <row r="75" spans="1:12">
      <c r="A75" s="286"/>
      <c r="B75" s="287"/>
      <c r="C75" s="288">
        <v>2210599</v>
      </c>
      <c r="D75" s="289" t="s">
        <v>128</v>
      </c>
      <c r="E75" s="290">
        <v>500000</v>
      </c>
      <c r="F75" s="291"/>
      <c r="G75" s="273">
        <f t="shared" si="33"/>
        <v>500000</v>
      </c>
      <c r="H75" s="281">
        <v>660000</v>
      </c>
      <c r="I75" s="280">
        <f t="shared" si="31"/>
        <v>693000</v>
      </c>
      <c r="J75" s="280">
        <f t="shared" si="31"/>
        <v>727650</v>
      </c>
      <c r="K75" s="304">
        <v>660000</v>
      </c>
      <c r="L75" s="305">
        <f t="shared" si="32"/>
        <v>0</v>
      </c>
    </row>
    <row r="76" spans="1:12">
      <c r="A76" s="286"/>
      <c r="B76" s="287"/>
      <c r="C76" s="288">
        <v>2640402</v>
      </c>
      <c r="D76" s="289" t="s">
        <v>119</v>
      </c>
      <c r="E76" s="290"/>
      <c r="F76" s="291"/>
      <c r="G76" s="273"/>
      <c r="H76" s="281">
        <v>1500000</v>
      </c>
      <c r="I76" s="280">
        <f t="shared" si="31"/>
        <v>1575000</v>
      </c>
      <c r="J76" s="280">
        <f t="shared" si="31"/>
        <v>1653750</v>
      </c>
      <c r="K76" s="304">
        <v>1500000</v>
      </c>
      <c r="L76" s="305">
        <f t="shared" si="32"/>
        <v>0</v>
      </c>
    </row>
    <row r="77" spans="1:12">
      <c r="A77" s="286"/>
      <c r="B77" s="287"/>
      <c r="C77" s="288">
        <v>2211103</v>
      </c>
      <c r="D77" s="289" t="s">
        <v>117</v>
      </c>
      <c r="E77" s="290"/>
      <c r="F77" s="291"/>
      <c r="G77" s="273"/>
      <c r="H77" s="281">
        <v>800000</v>
      </c>
      <c r="I77" s="280">
        <f t="shared" si="31"/>
        <v>840000</v>
      </c>
      <c r="J77" s="280">
        <f t="shared" si="31"/>
        <v>882000</v>
      </c>
      <c r="K77" s="304">
        <v>800000</v>
      </c>
      <c r="L77" s="305">
        <f t="shared" si="32"/>
        <v>0</v>
      </c>
    </row>
    <row r="78" spans="1:12">
      <c r="A78" s="286"/>
      <c r="B78" s="287"/>
      <c r="C78" s="288">
        <v>2211299</v>
      </c>
      <c r="D78" s="289" t="s">
        <v>129</v>
      </c>
      <c r="E78" s="290">
        <v>1000000</v>
      </c>
      <c r="F78" s="291"/>
      <c r="G78" s="273">
        <f t="shared" si="33"/>
        <v>1000000</v>
      </c>
      <c r="H78" s="281">
        <v>1000000</v>
      </c>
      <c r="I78" s="280">
        <f t="shared" si="31"/>
        <v>1050000</v>
      </c>
      <c r="J78" s="280">
        <f t="shared" si="31"/>
        <v>1102500</v>
      </c>
      <c r="K78" s="304">
        <v>1000000</v>
      </c>
      <c r="L78" s="305">
        <f t="shared" si="32"/>
        <v>0</v>
      </c>
    </row>
    <row r="79" spans="1:12">
      <c r="A79" s="286"/>
      <c r="B79" s="287" t="s">
        <v>130</v>
      </c>
      <c r="C79" s="288">
        <v>3111111</v>
      </c>
      <c r="D79" s="289" t="s">
        <v>131</v>
      </c>
      <c r="E79" s="290">
        <v>1900000</v>
      </c>
      <c r="F79" s="291"/>
      <c r="G79" s="273">
        <f t="shared" si="33"/>
        <v>1900000</v>
      </c>
      <c r="H79" s="281">
        <v>1000000</v>
      </c>
      <c r="I79" s="280">
        <f t="shared" si="31"/>
        <v>1050000</v>
      </c>
      <c r="J79" s="280">
        <f t="shared" si="31"/>
        <v>1102500</v>
      </c>
      <c r="K79" s="304">
        <v>1000000</v>
      </c>
      <c r="L79" s="305">
        <f t="shared" si="32"/>
        <v>0</v>
      </c>
    </row>
    <row r="80" spans="1:12">
      <c r="A80" s="286"/>
      <c r="B80" s="287"/>
      <c r="C80" s="288">
        <v>2211101</v>
      </c>
      <c r="D80" s="289" t="s">
        <v>126</v>
      </c>
      <c r="E80" s="290">
        <v>1500000</v>
      </c>
      <c r="F80" s="291"/>
      <c r="G80" s="273">
        <f t="shared" si="33"/>
        <v>1500000</v>
      </c>
      <c r="H80" s="281">
        <v>500000</v>
      </c>
      <c r="I80" s="280">
        <f t="shared" si="31"/>
        <v>525000</v>
      </c>
      <c r="J80" s="280">
        <f t="shared" si="31"/>
        <v>551250</v>
      </c>
      <c r="K80" s="304">
        <v>500000</v>
      </c>
      <c r="L80" s="305">
        <f t="shared" si="32"/>
        <v>0</v>
      </c>
    </row>
    <row r="81" spans="1:12">
      <c r="A81" s="286"/>
      <c r="B81" s="287"/>
      <c r="C81" s="288">
        <v>2210899</v>
      </c>
      <c r="D81" s="289" t="s">
        <v>125</v>
      </c>
      <c r="E81" s="290">
        <v>400000</v>
      </c>
      <c r="F81" s="291">
        <v>500000</v>
      </c>
      <c r="G81" s="273">
        <f t="shared" si="33"/>
        <v>900000</v>
      </c>
      <c r="H81" s="281">
        <v>500000</v>
      </c>
      <c r="I81" s="280">
        <f t="shared" si="31"/>
        <v>525000</v>
      </c>
      <c r="J81" s="280">
        <f t="shared" si="31"/>
        <v>551250</v>
      </c>
      <c r="K81" s="304">
        <v>500000</v>
      </c>
      <c r="L81" s="305">
        <f t="shared" si="32"/>
        <v>0</v>
      </c>
    </row>
    <row r="82" spans="1:12">
      <c r="A82" s="286"/>
      <c r="B82" s="287"/>
      <c r="C82" s="288">
        <v>2210302</v>
      </c>
      <c r="D82" s="289" t="s">
        <v>127</v>
      </c>
      <c r="E82" s="290">
        <v>3000000</v>
      </c>
      <c r="F82" s="291"/>
      <c r="G82" s="273">
        <f t="shared" si="33"/>
        <v>3000000</v>
      </c>
      <c r="H82" s="281">
        <v>1000000</v>
      </c>
      <c r="I82" s="280">
        <f t="shared" si="31"/>
        <v>1050000</v>
      </c>
      <c r="J82" s="280">
        <f t="shared" si="31"/>
        <v>1102500</v>
      </c>
      <c r="K82" s="304">
        <v>1000000</v>
      </c>
      <c r="L82" s="305">
        <f t="shared" si="32"/>
        <v>0</v>
      </c>
    </row>
    <row r="83" spans="1:12">
      <c r="A83" s="286"/>
      <c r="B83" s="287"/>
      <c r="C83" s="288">
        <v>2210599</v>
      </c>
      <c r="D83" s="289" t="s">
        <v>128</v>
      </c>
      <c r="E83" s="290">
        <v>9000000</v>
      </c>
      <c r="F83" s="291">
        <v>3000000</v>
      </c>
      <c r="G83" s="273">
        <f t="shared" si="33"/>
        <v>12000000</v>
      </c>
      <c r="H83" s="281">
        <v>7000000</v>
      </c>
      <c r="I83" s="280">
        <f t="shared" si="31"/>
        <v>7350000</v>
      </c>
      <c r="J83" s="280">
        <f t="shared" si="31"/>
        <v>7717500</v>
      </c>
      <c r="K83" s="304">
        <v>7000000</v>
      </c>
      <c r="L83" s="305">
        <f t="shared" si="32"/>
        <v>0</v>
      </c>
    </row>
    <row r="84" spans="1:12">
      <c r="A84" s="286"/>
      <c r="B84" s="287"/>
      <c r="C84" s="288">
        <v>2211299</v>
      </c>
      <c r="D84" s="289" t="s">
        <v>129</v>
      </c>
      <c r="E84" s="290">
        <v>2000000</v>
      </c>
      <c r="F84" s="291"/>
      <c r="G84" s="273">
        <f t="shared" si="33"/>
        <v>2000000</v>
      </c>
      <c r="H84" s="281">
        <v>3000000</v>
      </c>
      <c r="I84" s="280">
        <f t="shared" si="31"/>
        <v>3150000</v>
      </c>
      <c r="J84" s="280">
        <f t="shared" si="31"/>
        <v>3307500</v>
      </c>
      <c r="K84" s="304">
        <v>3000000</v>
      </c>
      <c r="L84" s="305">
        <f t="shared" si="32"/>
        <v>0</v>
      </c>
    </row>
    <row r="85" spans="1:12">
      <c r="A85" s="286"/>
      <c r="B85" s="287"/>
      <c r="C85" s="288"/>
      <c r="D85" s="289" t="s">
        <v>132</v>
      </c>
      <c r="E85" s="290">
        <v>8000000</v>
      </c>
      <c r="F85" s="291"/>
      <c r="G85" s="273">
        <f t="shared" si="33"/>
        <v>8000000</v>
      </c>
      <c r="H85" s="281"/>
      <c r="I85" s="280">
        <f t="shared" si="31"/>
        <v>0</v>
      </c>
      <c r="J85" s="280">
        <f t="shared" si="31"/>
        <v>0</v>
      </c>
      <c r="K85" s="304"/>
      <c r="L85" s="305">
        <f t="shared" si="32"/>
        <v>0</v>
      </c>
    </row>
    <row r="86" spans="1:12">
      <c r="A86" s="286"/>
      <c r="B86" s="287"/>
      <c r="C86" s="288">
        <v>2220101</v>
      </c>
      <c r="D86" s="289" t="s">
        <v>133</v>
      </c>
      <c r="E86" s="290">
        <v>1000000</v>
      </c>
      <c r="F86" s="291"/>
      <c r="G86" s="273">
        <f t="shared" si="33"/>
        <v>1000000</v>
      </c>
      <c r="H86" s="281">
        <v>1000000</v>
      </c>
      <c r="I86" s="280">
        <f t="shared" si="31"/>
        <v>1050000</v>
      </c>
      <c r="J86" s="280">
        <f t="shared" si="31"/>
        <v>1102500</v>
      </c>
      <c r="K86" s="304">
        <v>1000000</v>
      </c>
      <c r="L86" s="305">
        <f t="shared" si="32"/>
        <v>0</v>
      </c>
    </row>
    <row r="87" spans="1:12">
      <c r="A87" s="286" t="s">
        <v>134</v>
      </c>
      <c r="B87" s="287" t="s">
        <v>135</v>
      </c>
      <c r="C87" s="288">
        <v>2210302</v>
      </c>
      <c r="D87" s="306" t="s">
        <v>127</v>
      </c>
      <c r="E87" s="290">
        <v>2500000</v>
      </c>
      <c r="F87" s="291"/>
      <c r="G87" s="273">
        <f t="shared" si="33"/>
        <v>2500000</v>
      </c>
      <c r="H87" s="281">
        <v>1000000</v>
      </c>
      <c r="I87" s="280">
        <f t="shared" si="31"/>
        <v>1050000</v>
      </c>
      <c r="J87" s="280">
        <f t="shared" si="31"/>
        <v>1102500</v>
      </c>
      <c r="K87" s="304">
        <v>1000000</v>
      </c>
      <c r="L87" s="305">
        <f t="shared" si="32"/>
        <v>0</v>
      </c>
    </row>
    <row r="88" spans="1:12">
      <c r="A88" s="286"/>
      <c r="B88" s="287"/>
      <c r="C88" s="288">
        <v>3111002</v>
      </c>
      <c r="D88" s="306" t="s">
        <v>136</v>
      </c>
      <c r="E88" s="290"/>
      <c r="F88" s="291"/>
      <c r="G88" s="273"/>
      <c r="H88" s="281">
        <v>1500000</v>
      </c>
      <c r="I88" s="280">
        <f t="shared" si="31"/>
        <v>1575000</v>
      </c>
      <c r="J88" s="280">
        <f t="shared" si="31"/>
        <v>1653750</v>
      </c>
      <c r="K88" s="304">
        <v>1500000</v>
      </c>
      <c r="L88" s="305">
        <f t="shared" si="32"/>
        <v>0</v>
      </c>
    </row>
    <row r="89" spans="1:12">
      <c r="A89" s="286"/>
      <c r="B89" s="287"/>
      <c r="C89" s="288">
        <v>2211101</v>
      </c>
      <c r="D89" s="306" t="s">
        <v>137</v>
      </c>
      <c r="E89" s="290"/>
      <c r="F89" s="291"/>
      <c r="G89" s="273"/>
      <c r="H89" s="281">
        <v>200000</v>
      </c>
      <c r="I89" s="280">
        <f t="shared" si="31"/>
        <v>210000</v>
      </c>
      <c r="J89" s="280">
        <f t="shared" si="31"/>
        <v>220500</v>
      </c>
      <c r="K89" s="304">
        <v>200000</v>
      </c>
      <c r="L89" s="305">
        <f t="shared" si="32"/>
        <v>0</v>
      </c>
    </row>
    <row r="90" spans="1:12">
      <c r="A90" s="286"/>
      <c r="B90" s="287"/>
      <c r="C90" s="288"/>
      <c r="D90" s="306" t="s">
        <v>138</v>
      </c>
      <c r="E90" s="290">
        <v>2400000</v>
      </c>
      <c r="F90" s="291">
        <v>-1000000</v>
      </c>
      <c r="G90" s="273">
        <f t="shared" si="33"/>
        <v>1400000</v>
      </c>
      <c r="H90" s="281"/>
      <c r="I90" s="280">
        <f t="shared" si="31"/>
        <v>0</v>
      </c>
      <c r="J90" s="280">
        <f t="shared" si="31"/>
        <v>0</v>
      </c>
      <c r="K90" s="304"/>
      <c r="L90" s="305">
        <f t="shared" si="32"/>
        <v>0</v>
      </c>
    </row>
    <row r="91" ht="24" customHeight="1" spans="1:12">
      <c r="A91" s="286"/>
      <c r="B91" s="287"/>
      <c r="C91" s="288">
        <v>2211199</v>
      </c>
      <c r="D91" s="306" t="s">
        <v>84</v>
      </c>
      <c r="E91" s="290">
        <v>200000</v>
      </c>
      <c r="F91" s="291"/>
      <c r="G91" s="273">
        <f t="shared" si="33"/>
        <v>200000</v>
      </c>
      <c r="H91" s="281">
        <v>2000000</v>
      </c>
      <c r="I91" s="280">
        <f t="shared" ref="I91:J151" si="34">H91*1.05</f>
        <v>2100000</v>
      </c>
      <c r="J91" s="280">
        <f t="shared" si="34"/>
        <v>2205000</v>
      </c>
      <c r="K91" s="304">
        <v>2000000</v>
      </c>
      <c r="L91" s="305">
        <f t="shared" ref="L91:L152" si="35">H91-K91</f>
        <v>0</v>
      </c>
    </row>
    <row r="92" hidden="1" spans="1:12">
      <c r="A92" s="286"/>
      <c r="B92" s="287"/>
      <c r="C92" s="288"/>
      <c r="D92" s="306" t="s">
        <v>139</v>
      </c>
      <c r="E92" s="290">
        <v>3500000</v>
      </c>
      <c r="F92" s="291"/>
      <c r="G92" s="273">
        <f t="shared" si="33"/>
        <v>3500000</v>
      </c>
      <c r="H92" s="281"/>
      <c r="I92" s="280">
        <f t="shared" si="34"/>
        <v>0</v>
      </c>
      <c r="J92" s="280">
        <f t="shared" si="34"/>
        <v>0</v>
      </c>
      <c r="K92" s="304"/>
      <c r="L92" s="305">
        <f t="shared" si="35"/>
        <v>0</v>
      </c>
    </row>
    <row r="93" ht="0.75" customHeight="1" spans="1:12">
      <c r="A93" s="286"/>
      <c r="B93" s="287"/>
      <c r="C93" s="288"/>
      <c r="D93" s="306" t="s">
        <v>140</v>
      </c>
      <c r="E93" s="290">
        <v>500000</v>
      </c>
      <c r="F93" s="291"/>
      <c r="G93" s="273">
        <f t="shared" si="33"/>
        <v>500000</v>
      </c>
      <c r="H93" s="281"/>
      <c r="I93" s="280">
        <f t="shared" si="34"/>
        <v>0</v>
      </c>
      <c r="J93" s="280">
        <f t="shared" si="34"/>
        <v>0</v>
      </c>
      <c r="K93" s="304"/>
      <c r="L93" s="305">
        <f t="shared" si="35"/>
        <v>0</v>
      </c>
    </row>
    <row r="94" spans="1:12">
      <c r="A94" s="286"/>
      <c r="B94" s="287"/>
      <c r="C94" s="288"/>
      <c r="D94" s="306" t="s">
        <v>141</v>
      </c>
      <c r="E94" s="290">
        <v>1800000</v>
      </c>
      <c r="F94" s="291"/>
      <c r="G94" s="273">
        <f t="shared" si="33"/>
        <v>1800000</v>
      </c>
      <c r="H94" s="281"/>
      <c r="I94" s="280">
        <f t="shared" si="34"/>
        <v>0</v>
      </c>
      <c r="J94" s="280">
        <f t="shared" si="34"/>
        <v>0</v>
      </c>
      <c r="K94" s="304"/>
      <c r="L94" s="305">
        <f t="shared" si="35"/>
        <v>0</v>
      </c>
    </row>
    <row r="95" spans="1:12">
      <c r="A95" s="286"/>
      <c r="B95" s="287"/>
      <c r="C95" s="288">
        <v>2211306</v>
      </c>
      <c r="D95" s="306" t="s">
        <v>142</v>
      </c>
      <c r="E95" s="290">
        <v>400000</v>
      </c>
      <c r="F95" s="291"/>
      <c r="G95" s="273">
        <f t="shared" si="33"/>
        <v>400000</v>
      </c>
      <c r="H95" s="281">
        <v>100000</v>
      </c>
      <c r="I95" s="280">
        <f t="shared" si="34"/>
        <v>105000</v>
      </c>
      <c r="J95" s="280">
        <f t="shared" si="34"/>
        <v>110250</v>
      </c>
      <c r="K95" s="304">
        <v>100000</v>
      </c>
      <c r="L95" s="305">
        <f t="shared" si="35"/>
        <v>0</v>
      </c>
    </row>
    <row r="96" spans="1:12">
      <c r="A96" s="286"/>
      <c r="B96" s="287"/>
      <c r="C96" s="288">
        <v>2211299</v>
      </c>
      <c r="D96" s="306" t="s">
        <v>129</v>
      </c>
      <c r="E96" s="290">
        <v>2000000</v>
      </c>
      <c r="F96" s="291"/>
      <c r="G96" s="273">
        <f t="shared" si="33"/>
        <v>2000000</v>
      </c>
      <c r="H96" s="281">
        <v>1000000</v>
      </c>
      <c r="I96" s="280">
        <f t="shared" si="34"/>
        <v>1050000</v>
      </c>
      <c r="J96" s="280">
        <f t="shared" si="34"/>
        <v>1102500</v>
      </c>
      <c r="K96" s="304">
        <v>1000000</v>
      </c>
      <c r="L96" s="305">
        <f t="shared" si="35"/>
        <v>0</v>
      </c>
    </row>
    <row r="97" spans="1:12">
      <c r="A97" s="286"/>
      <c r="B97" s="287"/>
      <c r="C97" s="288">
        <v>2210599</v>
      </c>
      <c r="D97" s="306" t="s">
        <v>143</v>
      </c>
      <c r="E97" s="290"/>
      <c r="F97" s="291"/>
      <c r="G97" s="273"/>
      <c r="H97" s="281">
        <v>2000000</v>
      </c>
      <c r="I97" s="280">
        <f t="shared" si="34"/>
        <v>2100000</v>
      </c>
      <c r="J97" s="280">
        <f t="shared" si="34"/>
        <v>2205000</v>
      </c>
      <c r="K97" s="304">
        <v>2000000</v>
      </c>
      <c r="L97" s="305">
        <f t="shared" si="35"/>
        <v>0</v>
      </c>
    </row>
    <row r="98" spans="1:12">
      <c r="A98" s="286"/>
      <c r="B98" s="287"/>
      <c r="C98" s="288">
        <v>2210309</v>
      </c>
      <c r="D98" s="306" t="s">
        <v>97</v>
      </c>
      <c r="E98" s="290">
        <v>3000000</v>
      </c>
      <c r="F98" s="291"/>
      <c r="G98" s="273">
        <f t="shared" si="33"/>
        <v>3000000</v>
      </c>
      <c r="H98" s="281">
        <v>1000000</v>
      </c>
      <c r="I98" s="280">
        <f t="shared" si="34"/>
        <v>1050000</v>
      </c>
      <c r="J98" s="280">
        <f t="shared" si="34"/>
        <v>1102500</v>
      </c>
      <c r="K98" s="304">
        <v>1000000</v>
      </c>
      <c r="L98" s="305">
        <f t="shared" si="35"/>
        <v>0</v>
      </c>
    </row>
    <row r="99" spans="1:12">
      <c r="A99" s="286"/>
      <c r="B99" s="287" t="s">
        <v>144</v>
      </c>
      <c r="C99" s="288">
        <v>2210302</v>
      </c>
      <c r="D99" s="289" t="s">
        <v>85</v>
      </c>
      <c r="E99" s="290">
        <v>2500000</v>
      </c>
      <c r="F99" s="291"/>
      <c r="G99" s="273">
        <f t="shared" si="33"/>
        <v>2500000</v>
      </c>
      <c r="H99" s="281">
        <v>1000000</v>
      </c>
      <c r="I99" s="280">
        <f t="shared" si="34"/>
        <v>1050000</v>
      </c>
      <c r="J99" s="280">
        <f t="shared" si="34"/>
        <v>1102500</v>
      </c>
      <c r="K99" s="304">
        <v>1000000</v>
      </c>
      <c r="L99" s="305">
        <f t="shared" si="35"/>
        <v>0</v>
      </c>
    </row>
    <row r="100" spans="1:12">
      <c r="A100" s="286"/>
      <c r="B100" s="287"/>
      <c r="C100" s="288">
        <v>2211016</v>
      </c>
      <c r="D100" s="289" t="s">
        <v>108</v>
      </c>
      <c r="E100" s="290">
        <v>3000000</v>
      </c>
      <c r="F100" s="291"/>
      <c r="G100" s="273">
        <f t="shared" si="33"/>
        <v>3000000</v>
      </c>
      <c r="H100" s="281">
        <v>1000000</v>
      </c>
      <c r="I100" s="280">
        <f t="shared" si="34"/>
        <v>1050000</v>
      </c>
      <c r="J100" s="280">
        <f t="shared" si="34"/>
        <v>1102500</v>
      </c>
      <c r="K100" s="304">
        <v>1000000</v>
      </c>
      <c r="L100" s="305">
        <f t="shared" si="35"/>
        <v>0</v>
      </c>
    </row>
    <row r="101" spans="1:12">
      <c r="A101" s="286"/>
      <c r="B101" s="287"/>
      <c r="C101" s="288">
        <v>2210899</v>
      </c>
      <c r="D101" s="289" t="s">
        <v>125</v>
      </c>
      <c r="E101" s="290">
        <v>1000000</v>
      </c>
      <c r="F101" s="291"/>
      <c r="G101" s="273">
        <f t="shared" si="33"/>
        <v>1000000</v>
      </c>
      <c r="H101" s="281">
        <v>2400000</v>
      </c>
      <c r="I101" s="280">
        <f t="shared" si="34"/>
        <v>2520000</v>
      </c>
      <c r="J101" s="280">
        <f t="shared" si="34"/>
        <v>2646000</v>
      </c>
      <c r="K101" s="304">
        <v>2400000</v>
      </c>
      <c r="L101" s="305">
        <f t="shared" si="35"/>
        <v>0</v>
      </c>
    </row>
    <row r="102" spans="1:12">
      <c r="A102" s="286"/>
      <c r="B102" s="287"/>
      <c r="C102" s="288">
        <v>2210799</v>
      </c>
      <c r="D102" s="289" t="s">
        <v>138</v>
      </c>
      <c r="E102" s="290">
        <v>1500000</v>
      </c>
      <c r="F102" s="291"/>
      <c r="G102" s="273">
        <f t="shared" ref="G102:G137" si="36">E102+F102</f>
        <v>1500000</v>
      </c>
      <c r="H102" s="281">
        <v>1100000</v>
      </c>
      <c r="I102" s="280">
        <f t="shared" si="34"/>
        <v>1155000</v>
      </c>
      <c r="J102" s="280">
        <f t="shared" si="34"/>
        <v>1212750</v>
      </c>
      <c r="K102" s="304">
        <v>1100000</v>
      </c>
      <c r="L102" s="305">
        <f t="shared" si="35"/>
        <v>0</v>
      </c>
    </row>
    <row r="103" spans="1:12">
      <c r="A103" s="286"/>
      <c r="B103" s="287"/>
      <c r="C103" s="288">
        <v>2211031</v>
      </c>
      <c r="D103" s="289" t="s">
        <v>145</v>
      </c>
      <c r="E103" s="290">
        <v>3000000</v>
      </c>
      <c r="F103" s="291"/>
      <c r="G103" s="273">
        <f t="shared" si="36"/>
        <v>3000000</v>
      </c>
      <c r="H103" s="281">
        <v>1500000</v>
      </c>
      <c r="I103" s="280">
        <f t="shared" si="34"/>
        <v>1575000</v>
      </c>
      <c r="J103" s="280">
        <f t="shared" si="34"/>
        <v>1653750</v>
      </c>
      <c r="K103" s="304">
        <v>1500000</v>
      </c>
      <c r="L103" s="305">
        <f t="shared" si="35"/>
        <v>0</v>
      </c>
    </row>
    <row r="104" ht="27" customHeight="1" spans="1:12">
      <c r="A104" s="286"/>
      <c r="B104" s="287"/>
      <c r="C104" s="288">
        <v>2211101</v>
      </c>
      <c r="D104" s="289" t="s">
        <v>84</v>
      </c>
      <c r="E104" s="290">
        <v>1000000</v>
      </c>
      <c r="F104" s="291"/>
      <c r="G104" s="273">
        <f t="shared" si="36"/>
        <v>1000000</v>
      </c>
      <c r="H104" s="281">
        <v>1000000</v>
      </c>
      <c r="I104" s="280">
        <f t="shared" si="34"/>
        <v>1050000</v>
      </c>
      <c r="J104" s="280">
        <f t="shared" si="34"/>
        <v>1102500</v>
      </c>
      <c r="K104" s="304">
        <v>1000000</v>
      </c>
      <c r="L104" s="305">
        <f t="shared" si="35"/>
        <v>0</v>
      </c>
    </row>
    <row r="105" spans="1:12">
      <c r="A105" s="286"/>
      <c r="B105" s="287"/>
      <c r="C105" s="288">
        <v>2210599</v>
      </c>
      <c r="D105" s="289" t="s">
        <v>128</v>
      </c>
      <c r="E105" s="290"/>
      <c r="F105" s="291"/>
      <c r="G105" s="273"/>
      <c r="H105" s="281">
        <v>500000</v>
      </c>
      <c r="I105" s="280">
        <f t="shared" si="34"/>
        <v>525000</v>
      </c>
      <c r="J105" s="280">
        <f t="shared" si="34"/>
        <v>551250</v>
      </c>
      <c r="K105" s="304">
        <v>500000</v>
      </c>
      <c r="L105" s="305">
        <f t="shared" si="35"/>
        <v>0</v>
      </c>
    </row>
    <row r="106" spans="1:12">
      <c r="A106" s="286"/>
      <c r="B106" s="287"/>
      <c r="C106" s="288">
        <v>2211299</v>
      </c>
      <c r="D106" s="289" t="s">
        <v>100</v>
      </c>
      <c r="E106" s="290">
        <v>4000000</v>
      </c>
      <c r="F106" s="291">
        <v>-2000000</v>
      </c>
      <c r="G106" s="273">
        <f t="shared" si="36"/>
        <v>2000000</v>
      </c>
      <c r="H106" s="281">
        <v>2000000</v>
      </c>
      <c r="I106" s="280">
        <f t="shared" si="34"/>
        <v>2100000</v>
      </c>
      <c r="J106" s="280">
        <f t="shared" si="34"/>
        <v>2205000</v>
      </c>
      <c r="K106" s="304">
        <v>2000000</v>
      </c>
      <c r="L106" s="305">
        <f t="shared" si="35"/>
        <v>0</v>
      </c>
    </row>
    <row r="107" spans="1:12">
      <c r="A107" s="286"/>
      <c r="B107" s="287"/>
      <c r="C107" s="288">
        <v>2220101</v>
      </c>
      <c r="D107" s="289" t="s">
        <v>146</v>
      </c>
      <c r="E107" s="290">
        <v>3000000</v>
      </c>
      <c r="F107" s="291"/>
      <c r="G107" s="273">
        <f t="shared" si="36"/>
        <v>3000000</v>
      </c>
      <c r="H107" s="281">
        <v>2000000</v>
      </c>
      <c r="I107" s="280">
        <f t="shared" si="34"/>
        <v>2100000</v>
      </c>
      <c r="J107" s="280">
        <f t="shared" si="34"/>
        <v>2205000</v>
      </c>
      <c r="K107" s="304">
        <v>2000000</v>
      </c>
      <c r="L107" s="305">
        <f t="shared" si="35"/>
        <v>0</v>
      </c>
    </row>
    <row r="108" spans="1:12">
      <c r="A108" s="286"/>
      <c r="B108" s="287"/>
      <c r="C108" s="288">
        <v>2211103</v>
      </c>
      <c r="D108" s="289" t="s">
        <v>117</v>
      </c>
      <c r="E108" s="290"/>
      <c r="F108" s="291"/>
      <c r="G108" s="273"/>
      <c r="H108" s="281">
        <v>1000000</v>
      </c>
      <c r="I108" s="280">
        <f t="shared" si="34"/>
        <v>1050000</v>
      </c>
      <c r="J108" s="280">
        <f t="shared" si="34"/>
        <v>1102500</v>
      </c>
      <c r="K108" s="304">
        <v>1000000</v>
      </c>
      <c r="L108" s="305">
        <f t="shared" si="35"/>
        <v>0</v>
      </c>
    </row>
    <row r="109" spans="1:12">
      <c r="A109" s="286"/>
      <c r="B109" s="287"/>
      <c r="C109" s="288"/>
      <c r="D109" s="289" t="s">
        <v>147</v>
      </c>
      <c r="E109" s="290">
        <v>500000</v>
      </c>
      <c r="F109" s="291"/>
      <c r="G109" s="273">
        <f t="shared" si="36"/>
        <v>500000</v>
      </c>
      <c r="H109" s="281"/>
      <c r="I109" s="280">
        <f t="shared" si="34"/>
        <v>0</v>
      </c>
      <c r="J109" s="280">
        <f t="shared" si="34"/>
        <v>0</v>
      </c>
      <c r="K109" s="304"/>
      <c r="L109" s="305">
        <f t="shared" si="35"/>
        <v>0</v>
      </c>
    </row>
    <row r="110" hidden="1" spans="1:12">
      <c r="A110" s="286"/>
      <c r="B110" s="287" t="s">
        <v>148</v>
      </c>
      <c r="C110" s="288"/>
      <c r="D110" s="289" t="s">
        <v>85</v>
      </c>
      <c r="E110" s="290"/>
      <c r="F110" s="291"/>
      <c r="G110" s="273">
        <f t="shared" si="36"/>
        <v>0</v>
      </c>
      <c r="H110" s="281"/>
      <c r="I110" s="280">
        <f t="shared" si="34"/>
        <v>0</v>
      </c>
      <c r="J110" s="280">
        <f t="shared" si="34"/>
        <v>0</v>
      </c>
      <c r="K110" s="304"/>
      <c r="L110" s="305">
        <f t="shared" si="35"/>
        <v>0</v>
      </c>
    </row>
    <row r="111" hidden="1" spans="1:12">
      <c r="A111" s="286"/>
      <c r="B111" s="287"/>
      <c r="C111" s="288"/>
      <c r="D111" s="289" t="s">
        <v>128</v>
      </c>
      <c r="E111" s="290"/>
      <c r="F111" s="291"/>
      <c r="G111" s="273">
        <f t="shared" si="36"/>
        <v>0</v>
      </c>
      <c r="H111" s="281"/>
      <c r="I111" s="280">
        <f t="shared" si="34"/>
        <v>0</v>
      </c>
      <c r="J111" s="280">
        <f t="shared" si="34"/>
        <v>0</v>
      </c>
      <c r="K111" s="304"/>
      <c r="L111" s="305">
        <f t="shared" si="35"/>
        <v>0</v>
      </c>
    </row>
    <row r="112" hidden="1" spans="1:12">
      <c r="A112" s="286"/>
      <c r="B112" s="287"/>
      <c r="C112" s="288"/>
      <c r="D112" s="289" t="s">
        <v>87</v>
      </c>
      <c r="E112" s="290"/>
      <c r="F112" s="291"/>
      <c r="G112" s="273">
        <f t="shared" si="36"/>
        <v>0</v>
      </c>
      <c r="H112" s="281"/>
      <c r="I112" s="280">
        <f t="shared" si="34"/>
        <v>0</v>
      </c>
      <c r="J112" s="280">
        <f t="shared" si="34"/>
        <v>0</v>
      </c>
      <c r="K112" s="304"/>
      <c r="L112" s="305">
        <f t="shared" si="35"/>
        <v>0</v>
      </c>
    </row>
    <row r="113" hidden="1" spans="1:12">
      <c r="A113" s="286"/>
      <c r="B113" s="287"/>
      <c r="C113" s="288"/>
      <c r="D113" s="289" t="s">
        <v>88</v>
      </c>
      <c r="E113" s="290"/>
      <c r="F113" s="291"/>
      <c r="G113" s="273">
        <f t="shared" si="36"/>
        <v>0</v>
      </c>
      <c r="H113" s="281"/>
      <c r="I113" s="280">
        <f t="shared" si="34"/>
        <v>0</v>
      </c>
      <c r="J113" s="280">
        <f t="shared" si="34"/>
        <v>0</v>
      </c>
      <c r="K113" s="304"/>
      <c r="L113" s="305">
        <f t="shared" si="35"/>
        <v>0</v>
      </c>
    </row>
    <row r="114" hidden="1" spans="1:12">
      <c r="A114" s="286"/>
      <c r="B114" s="287"/>
      <c r="C114" s="288"/>
      <c r="D114" s="289" t="s">
        <v>149</v>
      </c>
      <c r="E114" s="290"/>
      <c r="F114" s="291"/>
      <c r="G114" s="273">
        <f t="shared" si="36"/>
        <v>0</v>
      </c>
      <c r="H114" s="281"/>
      <c r="I114" s="280">
        <f t="shared" si="34"/>
        <v>0</v>
      </c>
      <c r="J114" s="280">
        <f t="shared" si="34"/>
        <v>0</v>
      </c>
      <c r="K114" s="304"/>
      <c r="L114" s="305">
        <f t="shared" si="35"/>
        <v>0</v>
      </c>
    </row>
    <row r="115" hidden="1" spans="1:12">
      <c r="A115" s="286"/>
      <c r="B115" s="287"/>
      <c r="C115" s="288"/>
      <c r="D115" s="289" t="s">
        <v>110</v>
      </c>
      <c r="E115" s="290"/>
      <c r="F115" s="291"/>
      <c r="G115" s="273">
        <f t="shared" si="36"/>
        <v>0</v>
      </c>
      <c r="H115" s="281"/>
      <c r="I115" s="280">
        <f t="shared" si="34"/>
        <v>0</v>
      </c>
      <c r="J115" s="280">
        <f t="shared" si="34"/>
        <v>0</v>
      </c>
      <c r="K115" s="304"/>
      <c r="L115" s="305">
        <f t="shared" si="35"/>
        <v>0</v>
      </c>
    </row>
    <row r="116" ht="8.25" hidden="1" customHeight="1" spans="1:12">
      <c r="A116" s="286"/>
      <c r="B116" s="287"/>
      <c r="C116" s="288"/>
      <c r="D116" s="289" t="s">
        <v>84</v>
      </c>
      <c r="E116" s="290"/>
      <c r="F116" s="291"/>
      <c r="G116" s="273">
        <f t="shared" si="36"/>
        <v>0</v>
      </c>
      <c r="H116" s="281"/>
      <c r="I116" s="280">
        <f t="shared" si="34"/>
        <v>0</v>
      </c>
      <c r="J116" s="280">
        <f t="shared" si="34"/>
        <v>0</v>
      </c>
      <c r="K116" s="304"/>
      <c r="L116" s="305">
        <f t="shared" si="35"/>
        <v>0</v>
      </c>
    </row>
    <row r="117" hidden="1" spans="1:12">
      <c r="A117" s="286"/>
      <c r="B117" s="287"/>
      <c r="C117" s="288"/>
      <c r="D117" s="289" t="s">
        <v>150</v>
      </c>
      <c r="E117" s="290"/>
      <c r="F117" s="291"/>
      <c r="G117" s="273">
        <f t="shared" si="36"/>
        <v>0</v>
      </c>
      <c r="H117" s="281"/>
      <c r="I117" s="280">
        <f t="shared" si="34"/>
        <v>0</v>
      </c>
      <c r="J117" s="280">
        <f t="shared" si="34"/>
        <v>0</v>
      </c>
      <c r="K117" s="304"/>
      <c r="L117" s="305">
        <f t="shared" si="35"/>
        <v>0</v>
      </c>
    </row>
    <row r="118" ht="42" hidden="1" spans="1:12">
      <c r="A118" s="286"/>
      <c r="B118" s="287" t="s">
        <v>151</v>
      </c>
      <c r="C118" s="288"/>
      <c r="D118" s="289" t="s">
        <v>152</v>
      </c>
      <c r="E118" s="290">
        <v>2000000</v>
      </c>
      <c r="F118" s="291"/>
      <c r="G118" s="273">
        <f t="shared" si="36"/>
        <v>2000000</v>
      </c>
      <c r="H118" s="281"/>
      <c r="I118" s="280">
        <f t="shared" si="34"/>
        <v>0</v>
      </c>
      <c r="J118" s="280">
        <f t="shared" si="34"/>
        <v>0</v>
      </c>
      <c r="K118" s="304"/>
      <c r="L118" s="305">
        <f t="shared" si="35"/>
        <v>0</v>
      </c>
    </row>
    <row r="119" hidden="1" spans="1:12">
      <c r="A119" s="286"/>
      <c r="B119" s="287"/>
      <c r="C119" s="288"/>
      <c r="D119" s="289" t="s">
        <v>128</v>
      </c>
      <c r="E119" s="290">
        <v>220000</v>
      </c>
      <c r="F119" s="291">
        <v>2000000</v>
      </c>
      <c r="G119" s="273">
        <f t="shared" si="36"/>
        <v>2220000</v>
      </c>
      <c r="H119" s="281"/>
      <c r="I119" s="280">
        <f t="shared" si="34"/>
        <v>0</v>
      </c>
      <c r="J119" s="280">
        <f t="shared" si="34"/>
        <v>0</v>
      </c>
      <c r="K119" s="304"/>
      <c r="L119" s="305">
        <f t="shared" si="35"/>
        <v>0</v>
      </c>
    </row>
    <row r="120" hidden="1" spans="1:12">
      <c r="A120" s="286"/>
      <c r="B120" s="287"/>
      <c r="C120" s="288"/>
      <c r="D120" s="289" t="s">
        <v>87</v>
      </c>
      <c r="E120" s="290">
        <v>465500</v>
      </c>
      <c r="F120" s="291"/>
      <c r="G120" s="273">
        <f t="shared" si="36"/>
        <v>465500</v>
      </c>
      <c r="H120" s="281"/>
      <c r="I120" s="280">
        <f t="shared" si="34"/>
        <v>0</v>
      </c>
      <c r="J120" s="280">
        <f t="shared" si="34"/>
        <v>0</v>
      </c>
      <c r="K120" s="304"/>
      <c r="L120" s="305">
        <f t="shared" si="35"/>
        <v>0</v>
      </c>
    </row>
    <row r="121" hidden="1" spans="1:12">
      <c r="A121" s="286"/>
      <c r="B121" s="287"/>
      <c r="C121" s="288"/>
      <c r="D121" s="289" t="s">
        <v>149</v>
      </c>
      <c r="E121" s="290">
        <v>1100000</v>
      </c>
      <c r="F121" s="291"/>
      <c r="G121" s="273">
        <f t="shared" si="36"/>
        <v>1100000</v>
      </c>
      <c r="H121" s="281"/>
      <c r="I121" s="280">
        <f t="shared" si="34"/>
        <v>0</v>
      </c>
      <c r="J121" s="280">
        <f t="shared" si="34"/>
        <v>0</v>
      </c>
      <c r="K121" s="304"/>
      <c r="L121" s="305">
        <f t="shared" si="35"/>
        <v>0</v>
      </c>
    </row>
    <row r="122" hidden="1" spans="1:12">
      <c r="A122" s="286"/>
      <c r="B122" s="287"/>
      <c r="C122" s="288"/>
      <c r="D122" s="289" t="s">
        <v>153</v>
      </c>
      <c r="E122" s="290"/>
      <c r="F122" s="291"/>
      <c r="G122" s="273">
        <f t="shared" si="36"/>
        <v>0</v>
      </c>
      <c r="H122" s="281"/>
      <c r="I122" s="280">
        <f t="shared" si="34"/>
        <v>0</v>
      </c>
      <c r="J122" s="280">
        <f t="shared" si="34"/>
        <v>0</v>
      </c>
      <c r="K122" s="304"/>
      <c r="L122" s="305">
        <f t="shared" si="35"/>
        <v>0</v>
      </c>
    </row>
    <row r="123" hidden="1" spans="1:12">
      <c r="A123" s="286"/>
      <c r="B123" s="287"/>
      <c r="C123" s="288"/>
      <c r="D123" s="289" t="s">
        <v>108</v>
      </c>
      <c r="E123" s="290">
        <v>1815000</v>
      </c>
      <c r="F123" s="291"/>
      <c r="G123" s="273">
        <f t="shared" si="36"/>
        <v>1815000</v>
      </c>
      <c r="H123" s="281"/>
      <c r="I123" s="280">
        <f t="shared" si="34"/>
        <v>0</v>
      </c>
      <c r="J123" s="280">
        <f t="shared" si="34"/>
        <v>0</v>
      </c>
      <c r="K123" s="304"/>
      <c r="L123" s="305">
        <f t="shared" si="35"/>
        <v>0</v>
      </c>
    </row>
    <row r="124" hidden="1" spans="1:12">
      <c r="A124" s="286"/>
      <c r="B124" s="287"/>
      <c r="C124" s="288"/>
      <c r="D124" s="289" t="s">
        <v>110</v>
      </c>
      <c r="E124" s="290">
        <v>133100</v>
      </c>
      <c r="F124" s="291"/>
      <c r="G124" s="273">
        <f t="shared" si="36"/>
        <v>133100</v>
      </c>
      <c r="H124" s="281"/>
      <c r="I124" s="280">
        <f t="shared" si="34"/>
        <v>0</v>
      </c>
      <c r="J124" s="280">
        <f t="shared" si="34"/>
        <v>0</v>
      </c>
      <c r="K124" s="304"/>
      <c r="L124" s="305">
        <f t="shared" si="35"/>
        <v>0</v>
      </c>
    </row>
    <row r="125" ht="42" hidden="1" spans="1:12">
      <c r="A125" s="286"/>
      <c r="B125" s="287"/>
      <c r="C125" s="288"/>
      <c r="D125" s="289" t="s">
        <v>84</v>
      </c>
      <c r="E125" s="290">
        <v>121000</v>
      </c>
      <c r="F125" s="291"/>
      <c r="G125" s="273">
        <f t="shared" si="36"/>
        <v>121000</v>
      </c>
      <c r="H125" s="281"/>
      <c r="I125" s="280">
        <f t="shared" si="34"/>
        <v>0</v>
      </c>
      <c r="J125" s="280">
        <f t="shared" si="34"/>
        <v>0</v>
      </c>
      <c r="K125" s="304"/>
      <c r="L125" s="305">
        <f t="shared" si="35"/>
        <v>0</v>
      </c>
    </row>
    <row r="126" hidden="1" spans="1:12">
      <c r="A126" s="286"/>
      <c r="B126" s="287"/>
      <c r="C126" s="288"/>
      <c r="D126" s="289" t="s">
        <v>150</v>
      </c>
      <c r="E126" s="290">
        <v>2000000</v>
      </c>
      <c r="F126" s="291"/>
      <c r="G126" s="273">
        <f t="shared" si="36"/>
        <v>2000000</v>
      </c>
      <c r="H126" s="281"/>
      <c r="I126" s="280">
        <f t="shared" si="34"/>
        <v>0</v>
      </c>
      <c r="J126" s="280">
        <f t="shared" si="34"/>
        <v>0</v>
      </c>
      <c r="K126" s="304"/>
      <c r="L126" s="305">
        <f t="shared" si="35"/>
        <v>0</v>
      </c>
    </row>
    <row r="127" spans="1:12">
      <c r="A127" s="286"/>
      <c r="B127" s="287" t="s">
        <v>154</v>
      </c>
      <c r="C127" s="288">
        <v>2211308</v>
      </c>
      <c r="D127" s="306" t="s">
        <v>99</v>
      </c>
      <c r="E127" s="290">
        <v>10000000</v>
      </c>
      <c r="F127" s="291">
        <v>-4000000</v>
      </c>
      <c r="G127" s="273">
        <f t="shared" si="36"/>
        <v>6000000</v>
      </c>
      <c r="H127" s="281">
        <v>15000000</v>
      </c>
      <c r="I127" s="280">
        <f t="shared" si="34"/>
        <v>15750000</v>
      </c>
      <c r="J127" s="280">
        <f t="shared" si="34"/>
        <v>16537500</v>
      </c>
      <c r="K127" s="304">
        <v>15000000</v>
      </c>
      <c r="L127" s="305">
        <f t="shared" si="35"/>
        <v>0</v>
      </c>
    </row>
    <row r="128" spans="1:12">
      <c r="A128" s="286"/>
      <c r="B128" s="287"/>
      <c r="C128" s="288">
        <v>2210302</v>
      </c>
      <c r="D128" s="306" t="s">
        <v>127</v>
      </c>
      <c r="E128" s="290">
        <v>2500000</v>
      </c>
      <c r="F128" s="291"/>
      <c r="G128" s="273">
        <f t="shared" si="36"/>
        <v>2500000</v>
      </c>
      <c r="H128" s="281">
        <v>1500000</v>
      </c>
      <c r="I128" s="280">
        <f t="shared" si="34"/>
        <v>1575000</v>
      </c>
      <c r="J128" s="280">
        <f t="shared" si="34"/>
        <v>1653750</v>
      </c>
      <c r="K128" s="304">
        <v>1500000</v>
      </c>
      <c r="L128" s="305">
        <f t="shared" si="35"/>
        <v>0</v>
      </c>
    </row>
    <row r="129" ht="23.25" customHeight="1" spans="1:12">
      <c r="A129" s="286"/>
      <c r="B129" s="287"/>
      <c r="C129" s="288">
        <v>2211199</v>
      </c>
      <c r="D129" s="306" t="s">
        <v>84</v>
      </c>
      <c r="E129" s="290">
        <v>200000</v>
      </c>
      <c r="F129" s="291"/>
      <c r="G129" s="273">
        <f t="shared" si="36"/>
        <v>200000</v>
      </c>
      <c r="H129" s="281">
        <v>1600000</v>
      </c>
      <c r="I129" s="280">
        <f t="shared" si="34"/>
        <v>1680000</v>
      </c>
      <c r="J129" s="280">
        <f t="shared" si="34"/>
        <v>1764000</v>
      </c>
      <c r="K129" s="304">
        <v>1600000</v>
      </c>
      <c r="L129" s="305">
        <f t="shared" si="35"/>
        <v>0</v>
      </c>
    </row>
    <row r="130" spans="1:12">
      <c r="A130" s="286"/>
      <c r="B130" s="287"/>
      <c r="C130" s="288">
        <v>2210802</v>
      </c>
      <c r="D130" s="289" t="s">
        <v>94</v>
      </c>
      <c r="E130" s="290">
        <v>2000000</v>
      </c>
      <c r="F130" s="291"/>
      <c r="G130" s="273">
        <f t="shared" si="36"/>
        <v>2000000</v>
      </c>
      <c r="H130" s="281">
        <v>500000</v>
      </c>
      <c r="I130" s="280">
        <f t="shared" si="34"/>
        <v>525000</v>
      </c>
      <c r="J130" s="280">
        <f t="shared" si="34"/>
        <v>551250</v>
      </c>
      <c r="K130" s="304">
        <v>500000</v>
      </c>
      <c r="L130" s="305">
        <f t="shared" si="35"/>
        <v>0</v>
      </c>
    </row>
    <row r="131" spans="1:12">
      <c r="A131" s="286"/>
      <c r="B131" s="287"/>
      <c r="C131" s="288">
        <v>2210899</v>
      </c>
      <c r="D131" s="289" t="s">
        <v>155</v>
      </c>
      <c r="E131" s="290"/>
      <c r="F131" s="291"/>
      <c r="G131" s="273"/>
      <c r="H131" s="281">
        <v>500000</v>
      </c>
      <c r="I131" s="280">
        <f t="shared" si="34"/>
        <v>525000</v>
      </c>
      <c r="J131" s="280">
        <f t="shared" si="34"/>
        <v>551250</v>
      </c>
      <c r="K131" s="304">
        <v>500000</v>
      </c>
      <c r="L131" s="305">
        <f t="shared" si="35"/>
        <v>0</v>
      </c>
    </row>
    <row r="132" spans="1:12">
      <c r="A132" s="286"/>
      <c r="B132" s="287"/>
      <c r="C132" s="288">
        <v>3111001</v>
      </c>
      <c r="D132" s="307" t="s">
        <v>118</v>
      </c>
      <c r="E132" s="290"/>
      <c r="F132" s="291"/>
      <c r="G132" s="273"/>
      <c r="H132" s="281">
        <v>1000000</v>
      </c>
      <c r="I132" s="280">
        <f t="shared" si="34"/>
        <v>1050000</v>
      </c>
      <c r="J132" s="280">
        <f t="shared" si="34"/>
        <v>1102500</v>
      </c>
      <c r="K132" s="304">
        <v>1000000</v>
      </c>
      <c r="L132" s="305">
        <f t="shared" si="35"/>
        <v>0</v>
      </c>
    </row>
    <row r="133" spans="1:12">
      <c r="A133" s="286"/>
      <c r="B133" s="287"/>
      <c r="C133" s="288"/>
      <c r="D133" s="306" t="s">
        <v>140</v>
      </c>
      <c r="E133" s="290">
        <v>1000000</v>
      </c>
      <c r="F133" s="291"/>
      <c r="G133" s="273">
        <f t="shared" si="36"/>
        <v>1000000</v>
      </c>
      <c r="H133" s="281"/>
      <c r="I133" s="280">
        <f t="shared" si="34"/>
        <v>0</v>
      </c>
      <c r="J133" s="280">
        <f t="shared" si="34"/>
        <v>0</v>
      </c>
      <c r="K133" s="304"/>
      <c r="L133" s="305">
        <f t="shared" si="35"/>
        <v>0</v>
      </c>
    </row>
    <row r="134" spans="1:12">
      <c r="A134" s="286"/>
      <c r="B134" s="287"/>
      <c r="C134" s="288"/>
      <c r="D134" s="289" t="s">
        <v>110</v>
      </c>
      <c r="E134" s="290">
        <v>2000000</v>
      </c>
      <c r="F134" s="291"/>
      <c r="G134" s="273">
        <f t="shared" si="36"/>
        <v>2000000</v>
      </c>
      <c r="H134" s="281"/>
      <c r="I134" s="280">
        <f t="shared" si="34"/>
        <v>0</v>
      </c>
      <c r="J134" s="280">
        <f t="shared" si="34"/>
        <v>0</v>
      </c>
      <c r="K134" s="304"/>
      <c r="L134" s="305">
        <f t="shared" si="35"/>
        <v>0</v>
      </c>
    </row>
    <row r="135" spans="1:12">
      <c r="A135" s="286"/>
      <c r="B135" s="287"/>
      <c r="C135" s="288">
        <v>2211306</v>
      </c>
      <c r="D135" s="306" t="s">
        <v>142</v>
      </c>
      <c r="E135" s="290">
        <v>150000</v>
      </c>
      <c r="F135" s="291"/>
      <c r="G135" s="273">
        <f t="shared" si="36"/>
        <v>150000</v>
      </c>
      <c r="H135" s="281">
        <v>200000</v>
      </c>
      <c r="I135" s="280">
        <f t="shared" si="34"/>
        <v>210000</v>
      </c>
      <c r="J135" s="280">
        <f t="shared" si="34"/>
        <v>220500</v>
      </c>
      <c r="K135" s="304">
        <v>200000</v>
      </c>
      <c r="L135" s="305">
        <f t="shared" si="35"/>
        <v>0</v>
      </c>
    </row>
    <row r="136" spans="1:12">
      <c r="A136" s="286"/>
      <c r="B136" s="287"/>
      <c r="C136" s="288">
        <v>2211299</v>
      </c>
      <c r="D136" s="306" t="s">
        <v>129</v>
      </c>
      <c r="E136" s="290">
        <v>1000000</v>
      </c>
      <c r="F136" s="291"/>
      <c r="G136" s="273">
        <f t="shared" si="36"/>
        <v>1000000</v>
      </c>
      <c r="H136" s="281">
        <v>500000</v>
      </c>
      <c r="I136" s="280">
        <f t="shared" si="34"/>
        <v>525000</v>
      </c>
      <c r="J136" s="280">
        <f t="shared" si="34"/>
        <v>551250</v>
      </c>
      <c r="K136" s="304">
        <v>500000</v>
      </c>
      <c r="L136" s="305">
        <f t="shared" si="35"/>
        <v>0</v>
      </c>
    </row>
    <row r="137" spans="1:12">
      <c r="A137" s="286"/>
      <c r="B137" s="287"/>
      <c r="C137" s="288">
        <v>2210799</v>
      </c>
      <c r="D137" s="289" t="s">
        <v>138</v>
      </c>
      <c r="E137" s="290">
        <v>2400000</v>
      </c>
      <c r="F137" s="291"/>
      <c r="G137" s="273">
        <f t="shared" si="36"/>
        <v>2400000</v>
      </c>
      <c r="H137" s="281">
        <v>500000</v>
      </c>
      <c r="I137" s="280">
        <f t="shared" si="34"/>
        <v>525000</v>
      </c>
      <c r="J137" s="280">
        <f t="shared" si="34"/>
        <v>551250</v>
      </c>
      <c r="K137" s="304">
        <v>500000</v>
      </c>
      <c r="L137" s="305">
        <f t="shared" si="35"/>
        <v>0</v>
      </c>
    </row>
    <row r="138" spans="1:12">
      <c r="A138" s="286"/>
      <c r="B138" s="287" t="s">
        <v>156</v>
      </c>
      <c r="C138" s="288">
        <v>3110701</v>
      </c>
      <c r="D138" s="306" t="s">
        <v>157</v>
      </c>
      <c r="E138" s="290">
        <v>20000000</v>
      </c>
      <c r="F138" s="291">
        <v>3000000</v>
      </c>
      <c r="G138" s="273">
        <f t="shared" ref="G138:G151" si="37">E138+F138</f>
        <v>23000000</v>
      </c>
      <c r="H138" s="281">
        <v>7000000</v>
      </c>
      <c r="I138" s="280">
        <f t="shared" si="34"/>
        <v>7350000</v>
      </c>
      <c r="J138" s="280">
        <f t="shared" si="34"/>
        <v>7717500</v>
      </c>
      <c r="K138" s="304">
        <v>7000000</v>
      </c>
      <c r="L138" s="305">
        <f t="shared" si="35"/>
        <v>0</v>
      </c>
    </row>
    <row r="139" spans="1:12">
      <c r="A139" s="286"/>
      <c r="B139" s="287"/>
      <c r="C139" s="288">
        <v>2220101</v>
      </c>
      <c r="D139" s="308" t="s">
        <v>140</v>
      </c>
      <c r="E139" s="290"/>
      <c r="F139" s="291"/>
      <c r="G139" s="273"/>
      <c r="H139" s="281">
        <v>3000000</v>
      </c>
      <c r="I139" s="280">
        <f t="shared" si="34"/>
        <v>3150000</v>
      </c>
      <c r="J139" s="280">
        <f t="shared" si="34"/>
        <v>3307500</v>
      </c>
      <c r="K139" s="304">
        <v>3000000</v>
      </c>
      <c r="L139" s="305">
        <f t="shared" si="35"/>
        <v>0</v>
      </c>
    </row>
    <row r="140" spans="1:12">
      <c r="A140" s="286"/>
      <c r="B140" s="287"/>
      <c r="C140" s="288">
        <v>2220201</v>
      </c>
      <c r="D140" s="308" t="s">
        <v>158</v>
      </c>
      <c r="E140" s="290"/>
      <c r="F140" s="291"/>
      <c r="G140" s="273"/>
      <c r="H140" s="281">
        <v>1800000</v>
      </c>
      <c r="I140" s="280">
        <f t="shared" si="34"/>
        <v>1890000</v>
      </c>
      <c r="J140" s="280">
        <f t="shared" si="34"/>
        <v>1984500</v>
      </c>
      <c r="K140" s="304">
        <v>1800000</v>
      </c>
      <c r="L140" s="305">
        <f t="shared" si="35"/>
        <v>0</v>
      </c>
    </row>
    <row r="141" spans="1:12">
      <c r="A141" s="286"/>
      <c r="B141" s="287"/>
      <c r="C141" s="288"/>
      <c r="D141" s="306" t="s">
        <v>159</v>
      </c>
      <c r="E141" s="290">
        <v>5000000</v>
      </c>
      <c r="F141" s="291"/>
      <c r="G141" s="273">
        <f t="shared" si="37"/>
        <v>5000000</v>
      </c>
      <c r="H141" s="281"/>
      <c r="I141" s="280">
        <f t="shared" si="34"/>
        <v>0</v>
      </c>
      <c r="J141" s="280">
        <f t="shared" si="34"/>
        <v>0</v>
      </c>
      <c r="K141" s="304"/>
      <c r="L141" s="305">
        <f t="shared" si="35"/>
        <v>0</v>
      </c>
    </row>
    <row r="142" spans="1:12">
      <c r="A142" s="286"/>
      <c r="B142" s="287"/>
      <c r="C142" s="288"/>
      <c r="D142" s="306" t="s">
        <v>142</v>
      </c>
      <c r="E142" s="290">
        <v>0</v>
      </c>
      <c r="F142" s="291"/>
      <c r="G142" s="273">
        <f t="shared" si="37"/>
        <v>0</v>
      </c>
      <c r="H142" s="281"/>
      <c r="I142" s="280">
        <f t="shared" si="34"/>
        <v>0</v>
      </c>
      <c r="J142" s="280">
        <f t="shared" si="34"/>
        <v>0</v>
      </c>
      <c r="K142" s="304"/>
      <c r="L142" s="305">
        <f t="shared" si="35"/>
        <v>0</v>
      </c>
    </row>
    <row r="143" spans="1:12">
      <c r="A143" s="286"/>
      <c r="B143" s="287"/>
      <c r="C143" s="288">
        <v>2210302</v>
      </c>
      <c r="D143" s="306" t="s">
        <v>127</v>
      </c>
      <c r="E143" s="290">
        <v>3000000</v>
      </c>
      <c r="F143" s="291"/>
      <c r="G143" s="273">
        <f t="shared" si="37"/>
        <v>3000000</v>
      </c>
      <c r="H143" s="281">
        <v>500000</v>
      </c>
      <c r="I143" s="280">
        <f t="shared" si="34"/>
        <v>525000</v>
      </c>
      <c r="J143" s="280">
        <f t="shared" si="34"/>
        <v>551250</v>
      </c>
      <c r="K143" s="304">
        <v>500000</v>
      </c>
      <c r="L143" s="305">
        <f t="shared" si="35"/>
        <v>0</v>
      </c>
    </row>
    <row r="144" spans="1:12">
      <c r="A144" s="286"/>
      <c r="B144" s="287"/>
      <c r="C144" s="288">
        <v>2210899</v>
      </c>
      <c r="D144" s="308" t="s">
        <v>155</v>
      </c>
      <c r="E144" s="290"/>
      <c r="F144" s="291"/>
      <c r="G144" s="273"/>
      <c r="H144" s="281">
        <v>700000</v>
      </c>
      <c r="I144" s="280">
        <f t="shared" si="34"/>
        <v>735000</v>
      </c>
      <c r="J144" s="280">
        <f t="shared" si="34"/>
        <v>771750</v>
      </c>
      <c r="K144" s="304">
        <v>700000</v>
      </c>
      <c r="L144" s="305">
        <f t="shared" si="35"/>
        <v>0</v>
      </c>
    </row>
    <row r="145" spans="1:12">
      <c r="A145" s="286"/>
      <c r="B145" s="287"/>
      <c r="C145" s="288"/>
      <c r="D145" s="289" t="s">
        <v>149</v>
      </c>
      <c r="E145" s="290">
        <v>1500000</v>
      </c>
      <c r="F145" s="291"/>
      <c r="G145" s="273">
        <f t="shared" si="37"/>
        <v>1500000</v>
      </c>
      <c r="H145" s="281"/>
      <c r="I145" s="280">
        <f t="shared" si="34"/>
        <v>0</v>
      </c>
      <c r="J145" s="280">
        <f t="shared" si="34"/>
        <v>0</v>
      </c>
      <c r="K145" s="304"/>
      <c r="L145" s="305">
        <f t="shared" si="35"/>
        <v>0</v>
      </c>
    </row>
    <row r="146" spans="1:12">
      <c r="A146" s="286"/>
      <c r="B146" s="287"/>
      <c r="C146" s="288">
        <v>2210802</v>
      </c>
      <c r="D146" s="289" t="s">
        <v>94</v>
      </c>
      <c r="E146" s="290">
        <v>3000000</v>
      </c>
      <c r="F146" s="291"/>
      <c r="G146" s="273">
        <f t="shared" si="37"/>
        <v>3000000</v>
      </c>
      <c r="H146" s="281">
        <v>500000</v>
      </c>
      <c r="I146" s="280">
        <f t="shared" si="34"/>
        <v>525000</v>
      </c>
      <c r="J146" s="280">
        <f t="shared" si="34"/>
        <v>551250</v>
      </c>
      <c r="K146" s="304">
        <v>500000</v>
      </c>
      <c r="L146" s="305">
        <f t="shared" si="35"/>
        <v>0</v>
      </c>
    </row>
    <row r="147" spans="1:12">
      <c r="A147" s="286"/>
      <c r="B147" s="287"/>
      <c r="C147" s="288">
        <v>3111112</v>
      </c>
      <c r="D147" s="289" t="s">
        <v>160</v>
      </c>
      <c r="E147" s="290">
        <v>1000000</v>
      </c>
      <c r="F147" s="291"/>
      <c r="G147" s="273">
        <f t="shared" si="37"/>
        <v>1000000</v>
      </c>
      <c r="H147" s="281">
        <v>1500000</v>
      </c>
      <c r="I147" s="280">
        <f t="shared" si="34"/>
        <v>1575000</v>
      </c>
      <c r="J147" s="280">
        <f t="shared" si="34"/>
        <v>1653750</v>
      </c>
      <c r="K147" s="304">
        <v>1500000</v>
      </c>
      <c r="L147" s="305">
        <f t="shared" si="35"/>
        <v>0</v>
      </c>
    </row>
    <row r="148" spans="1:12">
      <c r="A148" s="286"/>
      <c r="B148" s="287"/>
      <c r="C148" s="288">
        <v>3111002</v>
      </c>
      <c r="D148" s="307" t="s">
        <v>161</v>
      </c>
      <c r="E148" s="290"/>
      <c r="F148" s="291"/>
      <c r="G148" s="273"/>
      <c r="H148" s="281">
        <v>2000000</v>
      </c>
      <c r="I148" s="280">
        <f t="shared" si="34"/>
        <v>2100000</v>
      </c>
      <c r="J148" s="280">
        <f t="shared" si="34"/>
        <v>2205000</v>
      </c>
      <c r="K148" s="304">
        <v>2000000</v>
      </c>
      <c r="L148" s="305">
        <f t="shared" si="35"/>
        <v>0</v>
      </c>
    </row>
    <row r="149" spans="1:12">
      <c r="A149" s="286"/>
      <c r="B149" s="287"/>
      <c r="C149" s="288"/>
      <c r="D149" s="289" t="s">
        <v>110</v>
      </c>
      <c r="E149" s="290">
        <v>1000000</v>
      </c>
      <c r="F149" s="291"/>
      <c r="G149" s="273">
        <f t="shared" si="37"/>
        <v>1000000</v>
      </c>
      <c r="H149" s="281"/>
      <c r="I149" s="280">
        <f t="shared" si="34"/>
        <v>0</v>
      </c>
      <c r="J149" s="280">
        <f t="shared" si="34"/>
        <v>0</v>
      </c>
      <c r="K149" s="304"/>
      <c r="L149" s="305">
        <f t="shared" si="35"/>
        <v>0</v>
      </c>
    </row>
    <row r="150" ht="28.5" customHeight="1" spans="1:12">
      <c r="A150" s="286"/>
      <c r="B150" s="287"/>
      <c r="C150" s="288">
        <v>2211101</v>
      </c>
      <c r="D150" s="289" t="s">
        <v>84</v>
      </c>
      <c r="E150" s="290">
        <v>500000</v>
      </c>
      <c r="F150" s="291"/>
      <c r="G150" s="273">
        <f t="shared" si="37"/>
        <v>500000</v>
      </c>
      <c r="H150" s="281">
        <v>2000000</v>
      </c>
      <c r="I150" s="280">
        <f t="shared" si="34"/>
        <v>2100000</v>
      </c>
      <c r="J150" s="280">
        <f t="shared" si="34"/>
        <v>2205000</v>
      </c>
      <c r="K150" s="304">
        <v>2000000</v>
      </c>
      <c r="L150" s="305">
        <f t="shared" si="35"/>
        <v>0</v>
      </c>
    </row>
    <row r="151" spans="1:12">
      <c r="A151" s="286"/>
      <c r="B151" s="287"/>
      <c r="C151" s="288">
        <v>2211299</v>
      </c>
      <c r="D151" s="289" t="s">
        <v>150</v>
      </c>
      <c r="E151" s="290">
        <v>4000000</v>
      </c>
      <c r="F151" s="291"/>
      <c r="G151" s="273">
        <f t="shared" si="37"/>
        <v>4000000</v>
      </c>
      <c r="H151" s="281">
        <v>1500000</v>
      </c>
      <c r="I151" s="280">
        <f t="shared" si="34"/>
        <v>1575000</v>
      </c>
      <c r="J151" s="280">
        <f t="shared" si="34"/>
        <v>1653750</v>
      </c>
      <c r="K151" s="304">
        <v>1500000</v>
      </c>
      <c r="L151" s="305">
        <f t="shared" si="35"/>
        <v>0</v>
      </c>
    </row>
    <row r="152" spans="1:12">
      <c r="A152" s="309" t="s">
        <v>162</v>
      </c>
      <c r="B152" s="309"/>
      <c r="C152" s="309"/>
      <c r="D152" s="309"/>
      <c r="E152" s="310">
        <f>SUM(E26:E151)</f>
        <v>409326209</v>
      </c>
      <c r="F152" s="311">
        <f>SUM(F26:F151)</f>
        <v>-15000000</v>
      </c>
      <c r="G152" s="312">
        <f>SUM(G26:G151)</f>
        <v>394326209</v>
      </c>
      <c r="H152" s="312">
        <f>SUM(H26:H151)</f>
        <v>314084209</v>
      </c>
      <c r="I152" s="312">
        <f t="shared" ref="I152:J152" si="38">SUM(I26:I151)</f>
        <v>329788419.45</v>
      </c>
      <c r="J152" s="323">
        <f t="shared" si="38"/>
        <v>346277840.4225</v>
      </c>
      <c r="K152" s="304">
        <v>320084209</v>
      </c>
      <c r="L152" s="305">
        <f t="shared" si="35"/>
        <v>-6000000</v>
      </c>
    </row>
    <row r="153" spans="1:10">
      <c r="A153" s="313"/>
      <c r="B153" s="314"/>
      <c r="C153" s="315"/>
      <c r="D153" s="315"/>
      <c r="E153" s="315"/>
      <c r="F153" s="279"/>
      <c r="G153" s="280"/>
      <c r="H153" s="281"/>
      <c r="I153" s="280"/>
      <c r="J153" s="280"/>
    </row>
    <row r="154" spans="2:10">
      <c r="B154" s="316" t="s">
        <v>163</v>
      </c>
      <c r="C154" s="317"/>
      <c r="D154" s="317"/>
      <c r="E154" s="317"/>
      <c r="F154" s="317"/>
      <c r="G154" s="317"/>
      <c r="H154" s="318"/>
      <c r="I154" s="324"/>
      <c r="J154" s="324"/>
    </row>
    <row r="155" spans="1:12">
      <c r="A155" s="286" t="s">
        <v>164</v>
      </c>
      <c r="B155" s="319" t="s">
        <v>165</v>
      </c>
      <c r="C155" s="319"/>
      <c r="D155" s="320" t="s">
        <v>166</v>
      </c>
      <c r="E155" s="271">
        <v>150389107</v>
      </c>
      <c r="F155" s="279"/>
      <c r="G155" s="273">
        <f t="shared" ref="G155:G184" si="39">E155+F155</f>
        <v>150389107</v>
      </c>
      <c r="H155" s="281">
        <v>157908562</v>
      </c>
      <c r="I155" s="280">
        <f t="shared" ref="I155:J218" si="40">H155*1.05</f>
        <v>165803990.1</v>
      </c>
      <c r="J155" s="280">
        <f>I155*1.05</f>
        <v>174094189.605</v>
      </c>
      <c r="K155" s="304">
        <v>157908562</v>
      </c>
      <c r="L155" s="305">
        <f>H155-K155</f>
        <v>0</v>
      </c>
    </row>
    <row r="156" spans="1:12">
      <c r="A156" s="286"/>
      <c r="B156" s="319"/>
      <c r="C156" s="319"/>
      <c r="D156" s="321" t="s">
        <v>102</v>
      </c>
      <c r="E156" s="271">
        <v>3479436</v>
      </c>
      <c r="F156" s="279"/>
      <c r="G156" s="273">
        <f t="shared" si="39"/>
        <v>3479436</v>
      </c>
      <c r="H156" s="281">
        <v>3653407</v>
      </c>
      <c r="I156" s="280">
        <f t="shared" si="40"/>
        <v>3836077.35</v>
      </c>
      <c r="J156" s="280">
        <f t="shared" si="40"/>
        <v>4027881.2175</v>
      </c>
      <c r="K156" s="304">
        <v>3653407</v>
      </c>
      <c r="L156" s="305">
        <f t="shared" ref="L156:L219" si="41">H156-K156</f>
        <v>0</v>
      </c>
    </row>
    <row r="157" spans="1:12">
      <c r="A157" s="286"/>
      <c r="B157" s="319"/>
      <c r="C157" s="319"/>
      <c r="D157" s="320" t="s">
        <v>167</v>
      </c>
      <c r="E157" s="271">
        <v>21000000</v>
      </c>
      <c r="F157" s="279"/>
      <c r="G157" s="273">
        <f t="shared" si="39"/>
        <v>21000000</v>
      </c>
      <c r="H157" s="281">
        <v>10000000</v>
      </c>
      <c r="I157" s="280">
        <f t="shared" si="40"/>
        <v>10500000</v>
      </c>
      <c r="J157" s="280">
        <f t="shared" si="40"/>
        <v>11025000</v>
      </c>
      <c r="K157" s="304">
        <v>10000000</v>
      </c>
      <c r="L157" s="305">
        <f t="shared" si="41"/>
        <v>0</v>
      </c>
    </row>
    <row r="158" ht="24.75" customHeight="1" spans="1:12">
      <c r="A158" s="286"/>
      <c r="B158" s="319"/>
      <c r="C158" s="319"/>
      <c r="D158" s="320" t="s">
        <v>168</v>
      </c>
      <c r="E158" s="271">
        <v>300000</v>
      </c>
      <c r="F158" s="279"/>
      <c r="G158" s="273">
        <f t="shared" si="39"/>
        <v>300000</v>
      </c>
      <c r="H158" s="281">
        <v>315000</v>
      </c>
      <c r="I158" s="280">
        <f t="shared" si="40"/>
        <v>330750</v>
      </c>
      <c r="J158" s="280">
        <f t="shared" si="40"/>
        <v>347287.5</v>
      </c>
      <c r="K158" s="304">
        <v>315000</v>
      </c>
      <c r="L158" s="305">
        <f t="shared" si="41"/>
        <v>0</v>
      </c>
    </row>
    <row r="159" spans="1:12">
      <c r="A159" s="286"/>
      <c r="B159" s="319"/>
      <c r="C159" s="319"/>
      <c r="D159" s="320" t="s">
        <v>85</v>
      </c>
      <c r="E159" s="271">
        <v>4000000</v>
      </c>
      <c r="F159" s="279"/>
      <c r="G159" s="273">
        <f t="shared" si="39"/>
        <v>4000000</v>
      </c>
      <c r="H159" s="281">
        <v>2000000</v>
      </c>
      <c r="I159" s="280">
        <f t="shared" si="40"/>
        <v>2100000</v>
      </c>
      <c r="J159" s="280">
        <f t="shared" si="40"/>
        <v>2205000</v>
      </c>
      <c r="K159" s="304">
        <v>2000000</v>
      </c>
      <c r="L159" s="305">
        <f t="shared" si="41"/>
        <v>0</v>
      </c>
    </row>
    <row r="160" spans="1:12">
      <c r="A160" s="286"/>
      <c r="B160" s="319"/>
      <c r="C160" s="319"/>
      <c r="D160" s="320" t="s">
        <v>86</v>
      </c>
      <c r="E160" s="322">
        <v>10000000</v>
      </c>
      <c r="F160" s="279">
        <v>-9200000</v>
      </c>
      <c r="G160" s="273">
        <f t="shared" si="39"/>
        <v>800000</v>
      </c>
      <c r="H160" s="281">
        <v>840000</v>
      </c>
      <c r="I160" s="280">
        <f t="shared" si="40"/>
        <v>882000</v>
      </c>
      <c r="J160" s="280">
        <f t="shared" si="40"/>
        <v>926100</v>
      </c>
      <c r="K160" s="304">
        <v>840000</v>
      </c>
      <c r="L160" s="305">
        <f t="shared" si="41"/>
        <v>0</v>
      </c>
    </row>
    <row r="161" spans="1:12">
      <c r="A161" s="286"/>
      <c r="B161" s="319"/>
      <c r="C161" s="319"/>
      <c r="D161" s="320" t="s">
        <v>87</v>
      </c>
      <c r="E161" s="271">
        <v>2000000</v>
      </c>
      <c r="F161" s="279"/>
      <c r="G161" s="273">
        <f t="shared" si="39"/>
        <v>2000000</v>
      </c>
      <c r="H161" s="281">
        <v>2100000</v>
      </c>
      <c r="I161" s="280">
        <f t="shared" si="40"/>
        <v>2205000</v>
      </c>
      <c r="J161" s="280">
        <f t="shared" si="40"/>
        <v>2315250</v>
      </c>
      <c r="K161" s="304">
        <v>2100000</v>
      </c>
      <c r="L161" s="305">
        <f t="shared" si="41"/>
        <v>0</v>
      </c>
    </row>
    <row r="162" spans="1:12">
      <c r="A162" s="286"/>
      <c r="B162" s="319"/>
      <c r="C162" s="319"/>
      <c r="D162" s="320" t="s">
        <v>169</v>
      </c>
      <c r="E162" s="271"/>
      <c r="F162" s="279">
        <v>1000000</v>
      </c>
      <c r="G162" s="273">
        <f t="shared" si="39"/>
        <v>1000000</v>
      </c>
      <c r="H162" s="281">
        <v>1050000</v>
      </c>
      <c r="I162" s="280">
        <f t="shared" si="40"/>
        <v>1102500</v>
      </c>
      <c r="J162" s="280">
        <f t="shared" si="40"/>
        <v>1157625</v>
      </c>
      <c r="K162" s="304">
        <v>1050000</v>
      </c>
      <c r="L162" s="305">
        <f t="shared" si="41"/>
        <v>0</v>
      </c>
    </row>
    <row r="163" spans="1:12">
      <c r="A163" s="286"/>
      <c r="B163" s="319"/>
      <c r="C163" s="319"/>
      <c r="D163" s="320" t="s">
        <v>89</v>
      </c>
      <c r="E163" s="271">
        <v>1000000</v>
      </c>
      <c r="F163" s="279"/>
      <c r="G163" s="273">
        <f t="shared" si="39"/>
        <v>1000000</v>
      </c>
      <c r="H163" s="281">
        <v>1050000</v>
      </c>
      <c r="I163" s="280">
        <f t="shared" si="40"/>
        <v>1102500</v>
      </c>
      <c r="J163" s="280">
        <f t="shared" si="40"/>
        <v>1157625</v>
      </c>
      <c r="K163" s="304">
        <v>1050000</v>
      </c>
      <c r="L163" s="305">
        <f t="shared" si="41"/>
        <v>0</v>
      </c>
    </row>
    <row r="164" spans="1:12">
      <c r="A164" s="286"/>
      <c r="B164" s="319"/>
      <c r="C164" s="319"/>
      <c r="D164" s="320" t="s">
        <v>94</v>
      </c>
      <c r="E164" s="271">
        <v>3000000</v>
      </c>
      <c r="F164" s="279"/>
      <c r="G164" s="273">
        <f t="shared" si="39"/>
        <v>3000000</v>
      </c>
      <c r="H164" s="281">
        <v>2000000</v>
      </c>
      <c r="I164" s="280">
        <f t="shared" si="40"/>
        <v>2100000</v>
      </c>
      <c r="J164" s="280">
        <f t="shared" si="40"/>
        <v>2205000</v>
      </c>
      <c r="K164" s="304">
        <v>2000000</v>
      </c>
      <c r="L164" s="305">
        <f t="shared" si="41"/>
        <v>0</v>
      </c>
    </row>
    <row r="165" spans="1:12">
      <c r="A165" s="286"/>
      <c r="B165" s="319"/>
      <c r="C165" s="319"/>
      <c r="D165" s="320" t="s">
        <v>170</v>
      </c>
      <c r="E165" s="271">
        <v>20000000</v>
      </c>
      <c r="F165" s="279">
        <v>-4000000</v>
      </c>
      <c r="G165" s="273">
        <f t="shared" si="39"/>
        <v>16000000</v>
      </c>
      <c r="H165" s="281">
        <f>11000000</f>
        <v>11000000</v>
      </c>
      <c r="I165" s="280">
        <f t="shared" si="40"/>
        <v>11550000</v>
      </c>
      <c r="J165" s="280">
        <f t="shared" si="40"/>
        <v>12127500</v>
      </c>
      <c r="K165" s="304">
        <v>11000000</v>
      </c>
      <c r="L165" s="305">
        <f t="shared" si="41"/>
        <v>0</v>
      </c>
    </row>
    <row r="166" spans="1:12">
      <c r="A166" s="286"/>
      <c r="B166" s="319"/>
      <c r="C166" s="319"/>
      <c r="D166" s="320" t="s">
        <v>108</v>
      </c>
      <c r="E166" s="322"/>
      <c r="F166" s="279"/>
      <c r="G166" s="273">
        <f t="shared" si="39"/>
        <v>0</v>
      </c>
      <c r="H166" s="281">
        <v>0</v>
      </c>
      <c r="I166" s="280">
        <f t="shared" si="40"/>
        <v>0</v>
      </c>
      <c r="J166" s="280">
        <f t="shared" si="40"/>
        <v>0</v>
      </c>
      <c r="K166" s="304">
        <v>0</v>
      </c>
      <c r="L166" s="305">
        <f t="shared" si="41"/>
        <v>0</v>
      </c>
    </row>
    <row r="167" spans="1:12">
      <c r="A167" s="286"/>
      <c r="B167" s="319"/>
      <c r="C167" s="319"/>
      <c r="D167" s="320" t="s">
        <v>171</v>
      </c>
      <c r="E167" s="271">
        <v>2000000</v>
      </c>
      <c r="F167" s="279">
        <v>2000000</v>
      </c>
      <c r="G167" s="273">
        <f t="shared" si="39"/>
        <v>4000000</v>
      </c>
      <c r="H167" s="281">
        <v>2000000</v>
      </c>
      <c r="I167" s="280">
        <f t="shared" si="40"/>
        <v>2100000</v>
      </c>
      <c r="J167" s="280">
        <f t="shared" si="40"/>
        <v>2205000</v>
      </c>
      <c r="K167" s="304">
        <v>2000000</v>
      </c>
      <c r="L167" s="305">
        <f t="shared" si="41"/>
        <v>0</v>
      </c>
    </row>
    <row r="168" spans="1:12">
      <c r="A168" s="286"/>
      <c r="B168" s="319"/>
      <c r="C168" s="319"/>
      <c r="D168" s="320" t="s">
        <v>150</v>
      </c>
      <c r="E168" s="271">
        <v>3000000</v>
      </c>
      <c r="F168" s="279">
        <v>-1000000</v>
      </c>
      <c r="G168" s="273">
        <f t="shared" si="39"/>
        <v>2000000</v>
      </c>
      <c r="H168" s="281">
        <v>2100000</v>
      </c>
      <c r="I168" s="280">
        <f t="shared" si="40"/>
        <v>2205000</v>
      </c>
      <c r="J168" s="280">
        <f t="shared" si="40"/>
        <v>2315250</v>
      </c>
      <c r="K168" s="304">
        <v>2100000</v>
      </c>
      <c r="L168" s="305">
        <f t="shared" si="41"/>
        <v>0</v>
      </c>
    </row>
    <row r="169" spans="1:12">
      <c r="A169" s="286"/>
      <c r="B169" s="319"/>
      <c r="C169" s="319"/>
      <c r="D169" s="320" t="s">
        <v>172</v>
      </c>
      <c r="E169" s="271"/>
      <c r="F169" s="279"/>
      <c r="G169" s="273">
        <f t="shared" si="39"/>
        <v>0</v>
      </c>
      <c r="H169" s="281">
        <v>500000</v>
      </c>
      <c r="I169" s="280">
        <f t="shared" si="40"/>
        <v>525000</v>
      </c>
      <c r="J169" s="280">
        <f t="shared" si="40"/>
        <v>551250</v>
      </c>
      <c r="K169" s="304">
        <v>500000</v>
      </c>
      <c r="L169" s="305">
        <f t="shared" si="41"/>
        <v>0</v>
      </c>
    </row>
    <row r="170" ht="42" spans="1:12">
      <c r="A170" s="286"/>
      <c r="B170" s="319"/>
      <c r="C170" s="319"/>
      <c r="D170" s="320" t="s">
        <v>114</v>
      </c>
      <c r="E170" s="271">
        <v>5000000</v>
      </c>
      <c r="F170" s="279"/>
      <c r="G170" s="273">
        <f t="shared" si="39"/>
        <v>5000000</v>
      </c>
      <c r="H170" s="281">
        <f>3000000</f>
        <v>3000000</v>
      </c>
      <c r="I170" s="280">
        <f t="shared" si="40"/>
        <v>3150000</v>
      </c>
      <c r="J170" s="280">
        <f t="shared" si="40"/>
        <v>3307500</v>
      </c>
      <c r="K170" s="304">
        <v>3000000</v>
      </c>
      <c r="L170" s="305">
        <f t="shared" si="41"/>
        <v>0</v>
      </c>
    </row>
    <row r="171" spans="1:12">
      <c r="A171" s="286"/>
      <c r="B171" s="319"/>
      <c r="C171" s="319"/>
      <c r="D171" s="320" t="s">
        <v>173</v>
      </c>
      <c r="E171" s="271"/>
      <c r="F171" s="279"/>
      <c r="G171" s="273">
        <f t="shared" si="39"/>
        <v>0</v>
      </c>
      <c r="H171" s="281">
        <v>0</v>
      </c>
      <c r="I171" s="280">
        <f t="shared" si="40"/>
        <v>0</v>
      </c>
      <c r="J171" s="280">
        <f t="shared" si="40"/>
        <v>0</v>
      </c>
      <c r="K171" s="304">
        <v>0</v>
      </c>
      <c r="L171" s="305">
        <f t="shared" si="41"/>
        <v>0</v>
      </c>
    </row>
    <row r="172" spans="1:12">
      <c r="A172" s="286"/>
      <c r="B172" s="319"/>
      <c r="C172" s="319"/>
      <c r="D172" s="320" t="s">
        <v>146</v>
      </c>
      <c r="E172" s="271">
        <v>1000000</v>
      </c>
      <c r="F172" s="279">
        <v>-500000</v>
      </c>
      <c r="G172" s="273">
        <f t="shared" si="39"/>
        <v>500000</v>
      </c>
      <c r="H172" s="281">
        <v>525000</v>
      </c>
      <c r="I172" s="280">
        <f t="shared" si="40"/>
        <v>551250</v>
      </c>
      <c r="J172" s="280">
        <f t="shared" si="40"/>
        <v>578812.5</v>
      </c>
      <c r="K172" s="304">
        <v>525000</v>
      </c>
      <c r="L172" s="305">
        <f t="shared" si="41"/>
        <v>0</v>
      </c>
    </row>
    <row r="173" spans="1:12">
      <c r="A173" s="286"/>
      <c r="B173" s="319"/>
      <c r="C173" s="319"/>
      <c r="D173" s="320" t="s">
        <v>174</v>
      </c>
      <c r="E173" s="271">
        <v>1100000</v>
      </c>
      <c r="F173" s="279"/>
      <c r="G173" s="273">
        <f t="shared" si="39"/>
        <v>1100000</v>
      </c>
      <c r="H173" s="281">
        <v>1155000</v>
      </c>
      <c r="I173" s="280">
        <f t="shared" si="40"/>
        <v>1212750</v>
      </c>
      <c r="J173" s="280">
        <f t="shared" si="40"/>
        <v>1273387.5</v>
      </c>
      <c r="K173" s="304">
        <v>1155000</v>
      </c>
      <c r="L173" s="305">
        <f t="shared" si="41"/>
        <v>0</v>
      </c>
    </row>
    <row r="174" spans="1:12">
      <c r="A174" s="286"/>
      <c r="B174" s="319"/>
      <c r="C174" s="319"/>
      <c r="D174" s="320" t="s">
        <v>175</v>
      </c>
      <c r="E174" s="271">
        <v>10000000</v>
      </c>
      <c r="F174" s="279">
        <v>0</v>
      </c>
      <c r="G174" s="273">
        <f t="shared" si="39"/>
        <v>10000000</v>
      </c>
      <c r="H174" s="281">
        <v>20500000</v>
      </c>
      <c r="I174" s="280">
        <f t="shared" si="40"/>
        <v>21525000</v>
      </c>
      <c r="J174" s="280">
        <f t="shared" si="40"/>
        <v>22601250</v>
      </c>
      <c r="K174" s="304">
        <v>10500000</v>
      </c>
      <c r="L174" s="305">
        <f t="shared" si="41"/>
        <v>10000000</v>
      </c>
    </row>
    <row r="175" spans="1:12">
      <c r="A175" s="286"/>
      <c r="B175" s="319"/>
      <c r="C175" s="319"/>
      <c r="D175" s="320" t="s">
        <v>176</v>
      </c>
      <c r="E175" s="271">
        <v>5000000</v>
      </c>
      <c r="F175" s="279">
        <v>-5000000</v>
      </c>
      <c r="G175" s="273">
        <f t="shared" si="39"/>
        <v>0</v>
      </c>
      <c r="H175" s="281">
        <v>0</v>
      </c>
      <c r="I175" s="280">
        <f t="shared" si="40"/>
        <v>0</v>
      </c>
      <c r="J175" s="280">
        <f t="shared" si="40"/>
        <v>0</v>
      </c>
      <c r="K175" s="304">
        <v>0</v>
      </c>
      <c r="L175" s="305">
        <f t="shared" si="41"/>
        <v>0</v>
      </c>
    </row>
    <row r="176" spans="1:12">
      <c r="A176" s="286"/>
      <c r="B176" s="319" t="s">
        <v>177</v>
      </c>
      <c r="C176" s="319"/>
      <c r="D176" s="320" t="s">
        <v>178</v>
      </c>
      <c r="E176" s="322"/>
      <c r="F176" s="279"/>
      <c r="G176" s="273">
        <f t="shared" si="39"/>
        <v>0</v>
      </c>
      <c r="H176" s="281">
        <v>0</v>
      </c>
      <c r="I176" s="280">
        <f t="shared" si="40"/>
        <v>0</v>
      </c>
      <c r="J176" s="280">
        <f t="shared" si="40"/>
        <v>0</v>
      </c>
      <c r="K176" s="304">
        <v>0</v>
      </c>
      <c r="L176" s="305">
        <f t="shared" si="41"/>
        <v>0</v>
      </c>
    </row>
    <row r="177" ht="24.75" customHeight="1" spans="1:12">
      <c r="A177" s="286"/>
      <c r="B177" s="319"/>
      <c r="C177" s="319"/>
      <c r="D177" s="320" t="s">
        <v>168</v>
      </c>
      <c r="E177" s="322"/>
      <c r="F177" s="279"/>
      <c r="G177" s="273">
        <f t="shared" si="39"/>
        <v>0</v>
      </c>
      <c r="H177" s="281">
        <v>0</v>
      </c>
      <c r="I177" s="280">
        <f t="shared" si="40"/>
        <v>0</v>
      </c>
      <c r="J177" s="280">
        <f t="shared" si="40"/>
        <v>0</v>
      </c>
      <c r="K177" s="304">
        <v>0</v>
      </c>
      <c r="L177" s="305">
        <f t="shared" si="41"/>
        <v>0</v>
      </c>
    </row>
    <row r="178" spans="1:12">
      <c r="A178" s="286"/>
      <c r="B178" s="319"/>
      <c r="C178" s="319"/>
      <c r="D178" s="320" t="s">
        <v>85</v>
      </c>
      <c r="E178" s="322">
        <f>4000000</f>
        <v>4000000</v>
      </c>
      <c r="F178" s="279"/>
      <c r="G178" s="273">
        <f t="shared" si="39"/>
        <v>4000000</v>
      </c>
      <c r="H178" s="281">
        <f>2000000</f>
        <v>2000000</v>
      </c>
      <c r="I178" s="280">
        <f t="shared" si="40"/>
        <v>2100000</v>
      </c>
      <c r="J178" s="280">
        <f t="shared" si="40"/>
        <v>2205000</v>
      </c>
      <c r="K178" s="304">
        <v>2000000</v>
      </c>
      <c r="L178" s="305">
        <f t="shared" si="41"/>
        <v>0</v>
      </c>
    </row>
    <row r="179" spans="1:12">
      <c r="A179" s="286"/>
      <c r="B179" s="319"/>
      <c r="C179" s="319"/>
      <c r="D179" s="320" t="s">
        <v>87</v>
      </c>
      <c r="E179" s="322">
        <f>550000</f>
        <v>550000</v>
      </c>
      <c r="F179" s="279"/>
      <c r="G179" s="273">
        <f t="shared" si="39"/>
        <v>550000</v>
      </c>
      <c r="H179" s="281">
        <v>577500</v>
      </c>
      <c r="I179" s="280">
        <f t="shared" si="40"/>
        <v>606375</v>
      </c>
      <c r="J179" s="280">
        <f t="shared" si="40"/>
        <v>636693.75</v>
      </c>
      <c r="K179" s="304">
        <v>577500</v>
      </c>
      <c r="L179" s="305">
        <f t="shared" si="41"/>
        <v>0</v>
      </c>
    </row>
    <row r="180" spans="1:12">
      <c r="A180" s="286"/>
      <c r="B180" s="319"/>
      <c r="C180" s="319"/>
      <c r="D180" s="320" t="s">
        <v>89</v>
      </c>
      <c r="E180" s="322">
        <f>1500000</f>
        <v>1500000</v>
      </c>
      <c r="F180" s="279"/>
      <c r="G180" s="273">
        <f t="shared" si="39"/>
        <v>1500000</v>
      </c>
      <c r="H180" s="281">
        <v>1575000</v>
      </c>
      <c r="I180" s="280">
        <f t="shared" si="40"/>
        <v>1653750</v>
      </c>
      <c r="J180" s="280">
        <f t="shared" si="40"/>
        <v>1736437.5</v>
      </c>
      <c r="K180" s="304">
        <v>1575000</v>
      </c>
      <c r="L180" s="305">
        <f t="shared" si="41"/>
        <v>0</v>
      </c>
    </row>
    <row r="181" spans="1:12">
      <c r="A181" s="286"/>
      <c r="B181" s="319"/>
      <c r="C181" s="319"/>
      <c r="D181" s="320" t="s">
        <v>179</v>
      </c>
      <c r="E181" s="322">
        <f>800000</f>
        <v>800000</v>
      </c>
      <c r="F181" s="279"/>
      <c r="G181" s="273">
        <f t="shared" si="39"/>
        <v>800000</v>
      </c>
      <c r="H181" s="281">
        <v>840000</v>
      </c>
      <c r="I181" s="280">
        <f t="shared" si="40"/>
        <v>882000</v>
      </c>
      <c r="J181" s="280">
        <f t="shared" si="40"/>
        <v>926100</v>
      </c>
      <c r="K181" s="304">
        <v>840000</v>
      </c>
      <c r="L181" s="305">
        <f t="shared" si="41"/>
        <v>0</v>
      </c>
    </row>
    <row r="182" spans="1:12">
      <c r="A182" s="286"/>
      <c r="B182" s="319" t="s">
        <v>180</v>
      </c>
      <c r="C182" s="319"/>
      <c r="D182" s="320" t="s">
        <v>181</v>
      </c>
      <c r="E182" s="322">
        <f>2000000</f>
        <v>2000000</v>
      </c>
      <c r="F182" s="279"/>
      <c r="G182" s="273">
        <f t="shared" si="39"/>
        <v>2000000</v>
      </c>
      <c r="H182" s="281">
        <v>1100000</v>
      </c>
      <c r="I182" s="280">
        <f t="shared" si="40"/>
        <v>1155000</v>
      </c>
      <c r="J182" s="280">
        <f t="shared" si="40"/>
        <v>1212750</v>
      </c>
      <c r="K182" s="304">
        <v>1100000</v>
      </c>
      <c r="L182" s="305">
        <f t="shared" si="41"/>
        <v>0</v>
      </c>
    </row>
    <row r="183" spans="1:12">
      <c r="A183" s="286"/>
      <c r="B183" s="319"/>
      <c r="C183" s="319"/>
      <c r="D183" s="320" t="s">
        <v>138</v>
      </c>
      <c r="E183" s="322">
        <f>2000000</f>
        <v>2000000</v>
      </c>
      <c r="F183" s="279"/>
      <c r="G183" s="273">
        <f t="shared" si="39"/>
        <v>2000000</v>
      </c>
      <c r="H183" s="281">
        <v>1100000</v>
      </c>
      <c r="I183" s="280">
        <f t="shared" si="40"/>
        <v>1155000</v>
      </c>
      <c r="J183" s="280">
        <f t="shared" si="40"/>
        <v>1212750</v>
      </c>
      <c r="K183" s="304">
        <v>1100000</v>
      </c>
      <c r="L183" s="305">
        <f t="shared" si="41"/>
        <v>0</v>
      </c>
    </row>
    <row r="184" spans="1:12">
      <c r="A184" s="286"/>
      <c r="B184" s="319"/>
      <c r="C184" s="319"/>
      <c r="D184" s="320" t="s">
        <v>182</v>
      </c>
      <c r="E184" s="322">
        <f>500000</f>
        <v>500000</v>
      </c>
      <c r="F184" s="279">
        <v>-300000</v>
      </c>
      <c r="G184" s="273">
        <f t="shared" si="39"/>
        <v>200000</v>
      </c>
      <c r="H184" s="281">
        <v>210000</v>
      </c>
      <c r="I184" s="280">
        <f t="shared" si="40"/>
        <v>220500</v>
      </c>
      <c r="J184" s="280">
        <f t="shared" si="40"/>
        <v>231525</v>
      </c>
      <c r="K184" s="304">
        <v>210000</v>
      </c>
      <c r="L184" s="305">
        <f t="shared" si="41"/>
        <v>0</v>
      </c>
    </row>
    <row r="185" spans="1:12">
      <c r="A185" s="286"/>
      <c r="B185" s="319"/>
      <c r="C185" s="319"/>
      <c r="D185" s="320" t="s">
        <v>125</v>
      </c>
      <c r="E185" s="322">
        <f>500000</f>
        <v>500000</v>
      </c>
      <c r="F185" s="279"/>
      <c r="G185" s="273">
        <f t="shared" ref="G185:G217" si="42">E185+F185</f>
        <v>500000</v>
      </c>
      <c r="H185" s="281">
        <v>525000</v>
      </c>
      <c r="I185" s="280">
        <f t="shared" si="40"/>
        <v>551250</v>
      </c>
      <c r="J185" s="280">
        <f t="shared" si="40"/>
        <v>578812.5</v>
      </c>
      <c r="K185" s="304">
        <v>525000</v>
      </c>
      <c r="L185" s="305">
        <f t="shared" si="41"/>
        <v>0</v>
      </c>
    </row>
    <row r="186" spans="1:12">
      <c r="A186" s="286"/>
      <c r="B186" s="319"/>
      <c r="C186" s="319"/>
      <c r="D186" s="320" t="s">
        <v>183</v>
      </c>
      <c r="E186" s="322">
        <f>500000</f>
        <v>500000</v>
      </c>
      <c r="F186" s="279"/>
      <c r="G186" s="273">
        <f t="shared" si="42"/>
        <v>500000</v>
      </c>
      <c r="H186" s="281">
        <v>525000</v>
      </c>
      <c r="I186" s="280">
        <f t="shared" si="40"/>
        <v>551250</v>
      </c>
      <c r="J186" s="280">
        <f t="shared" si="40"/>
        <v>578812.5</v>
      </c>
      <c r="K186" s="304">
        <v>525000</v>
      </c>
      <c r="L186" s="305">
        <f t="shared" si="41"/>
        <v>0</v>
      </c>
    </row>
    <row r="187" spans="1:12">
      <c r="A187" s="286"/>
      <c r="B187" s="319"/>
      <c r="C187" s="319"/>
      <c r="D187" s="320" t="s">
        <v>184</v>
      </c>
      <c r="E187" s="322">
        <f>500000</f>
        <v>500000</v>
      </c>
      <c r="F187" s="279"/>
      <c r="G187" s="273">
        <f t="shared" si="42"/>
        <v>500000</v>
      </c>
      <c r="H187" s="281">
        <v>525000</v>
      </c>
      <c r="I187" s="280">
        <f t="shared" si="40"/>
        <v>551250</v>
      </c>
      <c r="J187" s="280">
        <f t="shared" si="40"/>
        <v>578812.5</v>
      </c>
      <c r="K187" s="304">
        <v>525000</v>
      </c>
      <c r="L187" s="305">
        <f t="shared" si="41"/>
        <v>0</v>
      </c>
    </row>
    <row r="188" spans="1:12">
      <c r="A188" s="286" t="s">
        <v>185</v>
      </c>
      <c r="B188" s="319" t="s">
        <v>186</v>
      </c>
      <c r="C188" s="319"/>
      <c r="D188" s="320" t="s">
        <v>128</v>
      </c>
      <c r="E188" s="322">
        <f>500000</f>
        <v>500000</v>
      </c>
      <c r="F188" s="279"/>
      <c r="G188" s="273">
        <f t="shared" si="42"/>
        <v>500000</v>
      </c>
      <c r="H188" s="281">
        <v>525000</v>
      </c>
      <c r="I188" s="280">
        <f t="shared" si="40"/>
        <v>551250</v>
      </c>
      <c r="J188" s="280">
        <f t="shared" si="40"/>
        <v>578812.5</v>
      </c>
      <c r="K188" s="304">
        <v>525000</v>
      </c>
      <c r="L188" s="305">
        <f t="shared" si="41"/>
        <v>0</v>
      </c>
    </row>
    <row r="189" spans="1:12">
      <c r="A189" s="286"/>
      <c r="B189" s="319"/>
      <c r="C189" s="319"/>
      <c r="D189" s="320" t="s">
        <v>93</v>
      </c>
      <c r="E189" s="322">
        <f>2000000</f>
        <v>2000000</v>
      </c>
      <c r="F189" s="279"/>
      <c r="G189" s="273">
        <f t="shared" si="42"/>
        <v>2000000</v>
      </c>
      <c r="H189" s="281">
        <v>2100000</v>
      </c>
      <c r="I189" s="280">
        <f t="shared" si="40"/>
        <v>2205000</v>
      </c>
      <c r="J189" s="280">
        <f t="shared" si="40"/>
        <v>2315250</v>
      </c>
      <c r="K189" s="304">
        <v>2100000</v>
      </c>
      <c r="L189" s="305">
        <f t="shared" si="41"/>
        <v>0</v>
      </c>
    </row>
    <row r="190" spans="1:12">
      <c r="A190" s="286"/>
      <c r="B190" s="319"/>
      <c r="C190" s="319"/>
      <c r="D190" s="320" t="s">
        <v>187</v>
      </c>
      <c r="E190" s="322"/>
      <c r="F190" s="279"/>
      <c r="G190" s="273"/>
      <c r="H190" s="281">
        <v>1000000</v>
      </c>
      <c r="I190" s="280">
        <f t="shared" si="40"/>
        <v>1050000</v>
      </c>
      <c r="J190" s="280">
        <f t="shared" si="40"/>
        <v>1102500</v>
      </c>
      <c r="K190" s="304">
        <v>1000000</v>
      </c>
      <c r="L190" s="305">
        <f t="shared" si="41"/>
        <v>0</v>
      </c>
    </row>
    <row r="191" spans="1:12">
      <c r="A191" s="286"/>
      <c r="B191" s="319"/>
      <c r="C191" s="319"/>
      <c r="D191" s="320" t="s">
        <v>85</v>
      </c>
      <c r="E191" s="322">
        <f>3000000</f>
        <v>3000000</v>
      </c>
      <c r="F191" s="279"/>
      <c r="G191" s="273">
        <f t="shared" si="42"/>
        <v>3000000</v>
      </c>
      <c r="H191" s="281">
        <v>2000000</v>
      </c>
      <c r="I191" s="280">
        <f t="shared" si="40"/>
        <v>2100000</v>
      </c>
      <c r="J191" s="280">
        <f t="shared" si="40"/>
        <v>2205000</v>
      </c>
      <c r="K191" s="304">
        <v>2000000</v>
      </c>
      <c r="L191" s="305">
        <f t="shared" si="41"/>
        <v>0</v>
      </c>
    </row>
    <row r="192" spans="1:12">
      <c r="A192" s="286"/>
      <c r="B192" s="319"/>
      <c r="C192" s="319"/>
      <c r="D192" s="320" t="s">
        <v>125</v>
      </c>
      <c r="E192" s="322">
        <f>2000000</f>
        <v>2000000</v>
      </c>
      <c r="F192" s="279"/>
      <c r="G192" s="273">
        <f t="shared" si="42"/>
        <v>2000000</v>
      </c>
      <c r="H192" s="281"/>
      <c r="I192" s="280">
        <f t="shared" si="40"/>
        <v>0</v>
      </c>
      <c r="J192" s="280">
        <f t="shared" si="40"/>
        <v>0</v>
      </c>
      <c r="K192" s="304"/>
      <c r="L192" s="305">
        <f t="shared" si="41"/>
        <v>0</v>
      </c>
    </row>
    <row r="193" spans="1:12">
      <c r="A193" s="286"/>
      <c r="B193" s="319"/>
      <c r="C193" s="319"/>
      <c r="D193" s="320" t="s">
        <v>181</v>
      </c>
      <c r="E193" s="322"/>
      <c r="F193" s="279"/>
      <c r="G193" s="273">
        <f t="shared" si="42"/>
        <v>0</v>
      </c>
      <c r="H193" s="281">
        <v>0</v>
      </c>
      <c r="I193" s="280">
        <f t="shared" si="40"/>
        <v>0</v>
      </c>
      <c r="J193" s="280">
        <f t="shared" si="40"/>
        <v>0</v>
      </c>
      <c r="K193" s="304">
        <v>0</v>
      </c>
      <c r="L193" s="305">
        <f t="shared" si="41"/>
        <v>0</v>
      </c>
    </row>
    <row r="194" spans="1:12">
      <c r="A194" s="286"/>
      <c r="B194" s="319"/>
      <c r="C194" s="319"/>
      <c r="D194" s="320" t="s">
        <v>110</v>
      </c>
      <c r="E194" s="322">
        <f>1000000</f>
        <v>1000000</v>
      </c>
      <c r="F194" s="279"/>
      <c r="G194" s="273">
        <f t="shared" si="42"/>
        <v>1000000</v>
      </c>
      <c r="H194" s="281">
        <v>1050000</v>
      </c>
      <c r="I194" s="280">
        <f t="shared" si="40"/>
        <v>1102500</v>
      </c>
      <c r="J194" s="280">
        <f t="shared" si="40"/>
        <v>1157625</v>
      </c>
      <c r="K194" s="304">
        <v>1050000</v>
      </c>
      <c r="L194" s="305">
        <f t="shared" si="41"/>
        <v>0</v>
      </c>
    </row>
    <row r="195" spans="1:12">
      <c r="A195" s="286"/>
      <c r="B195" s="319"/>
      <c r="C195" s="319"/>
      <c r="D195" s="320" t="s">
        <v>188</v>
      </c>
      <c r="E195" s="322">
        <f>1100000</f>
        <v>1100000</v>
      </c>
      <c r="F195" s="279">
        <v>-500000</v>
      </c>
      <c r="G195" s="273">
        <f t="shared" si="42"/>
        <v>600000</v>
      </c>
      <c r="H195" s="281">
        <v>630000</v>
      </c>
      <c r="I195" s="280">
        <f t="shared" si="40"/>
        <v>661500</v>
      </c>
      <c r="J195" s="280">
        <f t="shared" si="40"/>
        <v>694575</v>
      </c>
      <c r="K195" s="304">
        <v>630000</v>
      </c>
      <c r="L195" s="305">
        <f t="shared" si="41"/>
        <v>0</v>
      </c>
    </row>
    <row r="196" spans="1:12">
      <c r="A196" s="286"/>
      <c r="B196" s="325" t="s">
        <v>189</v>
      </c>
      <c r="C196" s="325"/>
      <c r="D196" s="320" t="s">
        <v>128</v>
      </c>
      <c r="E196" s="322">
        <f>440000</f>
        <v>440000</v>
      </c>
      <c r="F196" s="279"/>
      <c r="G196" s="273">
        <f t="shared" si="42"/>
        <v>440000</v>
      </c>
      <c r="H196" s="281">
        <v>462000</v>
      </c>
      <c r="I196" s="280">
        <f t="shared" si="40"/>
        <v>485100</v>
      </c>
      <c r="J196" s="280">
        <f t="shared" si="40"/>
        <v>509355</v>
      </c>
      <c r="K196" s="304">
        <v>0</v>
      </c>
      <c r="L196" s="305">
        <f t="shared" si="41"/>
        <v>462000</v>
      </c>
    </row>
    <row r="197" spans="1:12">
      <c r="A197" s="286"/>
      <c r="B197" s="326"/>
      <c r="C197" s="326"/>
      <c r="D197" s="320" t="s">
        <v>103</v>
      </c>
      <c r="E197" s="322">
        <f>500000</f>
        <v>500000</v>
      </c>
      <c r="F197" s="279"/>
      <c r="G197" s="273">
        <f t="shared" si="42"/>
        <v>500000</v>
      </c>
      <c r="H197" s="281">
        <v>525000</v>
      </c>
      <c r="I197" s="280">
        <f t="shared" si="40"/>
        <v>551250</v>
      </c>
      <c r="J197" s="280">
        <f t="shared" si="40"/>
        <v>578812.5</v>
      </c>
      <c r="K197" s="304">
        <v>525000</v>
      </c>
      <c r="L197" s="305">
        <f t="shared" si="41"/>
        <v>0</v>
      </c>
    </row>
    <row r="198" spans="1:12">
      <c r="A198" s="286"/>
      <c r="B198" s="326"/>
      <c r="C198" s="326"/>
      <c r="D198" s="320" t="s">
        <v>190</v>
      </c>
      <c r="E198" s="322">
        <f>3000000</f>
        <v>3000000</v>
      </c>
      <c r="F198" s="279"/>
      <c r="G198" s="273">
        <f t="shared" si="42"/>
        <v>3000000</v>
      </c>
      <c r="H198" s="281">
        <v>3000000</v>
      </c>
      <c r="I198" s="280">
        <f t="shared" si="40"/>
        <v>3150000</v>
      </c>
      <c r="J198" s="280">
        <f t="shared" si="40"/>
        <v>3307500</v>
      </c>
      <c r="K198" s="304">
        <v>3000000</v>
      </c>
      <c r="L198" s="305">
        <f t="shared" si="41"/>
        <v>0</v>
      </c>
    </row>
    <row r="199" spans="1:12">
      <c r="A199" s="286"/>
      <c r="B199" s="326"/>
      <c r="C199" s="326"/>
      <c r="D199" s="320" t="s">
        <v>85</v>
      </c>
      <c r="E199" s="322">
        <f>1500000</f>
        <v>1500000</v>
      </c>
      <c r="F199" s="279"/>
      <c r="G199" s="273">
        <f t="shared" si="42"/>
        <v>1500000</v>
      </c>
      <c r="H199" s="281">
        <f>1500000</f>
        <v>1500000</v>
      </c>
      <c r="I199" s="280">
        <f t="shared" si="40"/>
        <v>1575000</v>
      </c>
      <c r="J199" s="280">
        <f t="shared" si="40"/>
        <v>1653750</v>
      </c>
      <c r="K199" s="304">
        <v>1500000</v>
      </c>
      <c r="L199" s="305">
        <f t="shared" si="41"/>
        <v>0</v>
      </c>
    </row>
    <row r="200" spans="1:12">
      <c r="A200" s="286"/>
      <c r="B200" s="326"/>
      <c r="C200" s="326"/>
      <c r="D200" s="320" t="s">
        <v>138</v>
      </c>
      <c r="E200" s="322">
        <f>500000</f>
        <v>500000</v>
      </c>
      <c r="F200" s="279"/>
      <c r="G200" s="273">
        <f t="shared" si="42"/>
        <v>500000</v>
      </c>
      <c r="H200" s="281">
        <v>525000</v>
      </c>
      <c r="I200" s="280">
        <f t="shared" si="40"/>
        <v>551250</v>
      </c>
      <c r="J200" s="280">
        <f t="shared" si="40"/>
        <v>578812.5</v>
      </c>
      <c r="K200" s="304">
        <v>525000</v>
      </c>
      <c r="L200" s="305">
        <f t="shared" si="41"/>
        <v>0</v>
      </c>
    </row>
    <row r="201" spans="1:12">
      <c r="A201" s="286"/>
      <c r="B201" s="327"/>
      <c r="C201" s="327"/>
      <c r="D201" s="320" t="s">
        <v>110</v>
      </c>
      <c r="E201" s="322">
        <v>330000</v>
      </c>
      <c r="F201" s="279"/>
      <c r="G201" s="273">
        <f t="shared" si="42"/>
        <v>330000</v>
      </c>
      <c r="H201" s="281">
        <v>346500</v>
      </c>
      <c r="I201" s="280">
        <f t="shared" si="40"/>
        <v>363825</v>
      </c>
      <c r="J201" s="280">
        <f t="shared" si="40"/>
        <v>382016.25</v>
      </c>
      <c r="K201" s="304">
        <v>346500</v>
      </c>
      <c r="L201" s="305">
        <f t="shared" si="41"/>
        <v>0</v>
      </c>
    </row>
    <row r="202" spans="1:12">
      <c r="A202" s="286"/>
      <c r="B202" s="319" t="s">
        <v>191</v>
      </c>
      <c r="C202" s="319"/>
      <c r="D202" s="320" t="s">
        <v>128</v>
      </c>
      <c r="E202" s="322"/>
      <c r="F202" s="279"/>
      <c r="G202" s="273">
        <f t="shared" si="42"/>
        <v>0</v>
      </c>
      <c r="H202" s="281">
        <v>0</v>
      </c>
      <c r="I202" s="280">
        <f t="shared" si="40"/>
        <v>0</v>
      </c>
      <c r="J202" s="280">
        <f t="shared" si="40"/>
        <v>0</v>
      </c>
      <c r="K202" s="304">
        <v>0</v>
      </c>
      <c r="L202" s="305">
        <f t="shared" si="41"/>
        <v>0</v>
      </c>
    </row>
    <row r="203" spans="1:12">
      <c r="A203" s="286"/>
      <c r="B203" s="319"/>
      <c r="C203" s="319"/>
      <c r="D203" s="320" t="s">
        <v>103</v>
      </c>
      <c r="E203" s="322">
        <f>440000</f>
        <v>440000</v>
      </c>
      <c r="F203" s="279"/>
      <c r="G203" s="273">
        <f t="shared" si="42"/>
        <v>440000</v>
      </c>
      <c r="H203" s="281">
        <v>462000</v>
      </c>
      <c r="I203" s="280">
        <f t="shared" si="40"/>
        <v>485100</v>
      </c>
      <c r="J203" s="280">
        <f t="shared" si="40"/>
        <v>509355</v>
      </c>
      <c r="K203" s="304">
        <v>462000</v>
      </c>
      <c r="L203" s="305">
        <f t="shared" si="41"/>
        <v>0</v>
      </c>
    </row>
    <row r="204" spans="1:12">
      <c r="A204" s="286"/>
      <c r="B204" s="319"/>
      <c r="C204" s="319"/>
      <c r="D204" s="320" t="s">
        <v>85</v>
      </c>
      <c r="E204" s="322">
        <f>2000000</f>
        <v>2000000</v>
      </c>
      <c r="F204" s="279"/>
      <c r="G204" s="273">
        <f t="shared" si="42"/>
        <v>2000000</v>
      </c>
      <c r="H204" s="281">
        <f>1500000</f>
        <v>1500000</v>
      </c>
      <c r="I204" s="280">
        <f t="shared" si="40"/>
        <v>1575000</v>
      </c>
      <c r="J204" s="280">
        <f t="shared" si="40"/>
        <v>1653750</v>
      </c>
      <c r="K204" s="304">
        <v>1500000</v>
      </c>
      <c r="L204" s="305">
        <f t="shared" si="41"/>
        <v>0</v>
      </c>
    </row>
    <row r="205" spans="1:12">
      <c r="A205" s="286"/>
      <c r="B205" s="319"/>
      <c r="C205" s="319"/>
      <c r="D205" s="320" t="s">
        <v>192</v>
      </c>
      <c r="E205" s="322">
        <f>330000</f>
        <v>330000</v>
      </c>
      <c r="F205" s="279"/>
      <c r="G205" s="273">
        <f t="shared" si="42"/>
        <v>330000</v>
      </c>
      <c r="H205" s="281">
        <v>346500</v>
      </c>
      <c r="I205" s="280">
        <f t="shared" si="40"/>
        <v>363825</v>
      </c>
      <c r="J205" s="280">
        <f t="shared" si="40"/>
        <v>382016.25</v>
      </c>
      <c r="K205" s="304">
        <v>346500</v>
      </c>
      <c r="L205" s="305">
        <f t="shared" si="41"/>
        <v>0</v>
      </c>
    </row>
    <row r="206" spans="1:12">
      <c r="A206" s="286"/>
      <c r="B206" s="319"/>
      <c r="C206" s="319"/>
      <c r="D206" s="320" t="s">
        <v>110</v>
      </c>
      <c r="E206" s="322">
        <f>550000</f>
        <v>550000</v>
      </c>
      <c r="F206" s="279"/>
      <c r="G206" s="273">
        <f t="shared" si="42"/>
        <v>550000</v>
      </c>
      <c r="H206" s="281">
        <v>577500</v>
      </c>
      <c r="I206" s="280">
        <f t="shared" si="40"/>
        <v>606375</v>
      </c>
      <c r="J206" s="280">
        <f t="shared" si="40"/>
        <v>636693.75</v>
      </c>
      <c r="K206" s="304">
        <v>577500</v>
      </c>
      <c r="L206" s="305">
        <f t="shared" si="41"/>
        <v>0</v>
      </c>
    </row>
    <row r="207" spans="1:12">
      <c r="A207" s="286"/>
      <c r="B207" s="319" t="s">
        <v>193</v>
      </c>
      <c r="C207" s="319"/>
      <c r="D207" s="320" t="s">
        <v>128</v>
      </c>
      <c r="E207" s="322">
        <f>500000</f>
        <v>500000</v>
      </c>
      <c r="F207" s="279"/>
      <c r="G207" s="273">
        <f t="shared" si="42"/>
        <v>500000</v>
      </c>
      <c r="H207" s="281">
        <v>525000</v>
      </c>
      <c r="I207" s="280">
        <f t="shared" si="40"/>
        <v>551250</v>
      </c>
      <c r="J207" s="280">
        <f t="shared" si="40"/>
        <v>578812.5</v>
      </c>
      <c r="K207" s="304">
        <v>525000</v>
      </c>
      <c r="L207" s="305">
        <f t="shared" si="41"/>
        <v>0</v>
      </c>
    </row>
    <row r="208" spans="1:12">
      <c r="A208" s="286"/>
      <c r="B208" s="319"/>
      <c r="C208" s="319"/>
      <c r="D208" s="320" t="s">
        <v>103</v>
      </c>
      <c r="E208" s="322">
        <f>2900000</f>
        <v>2900000</v>
      </c>
      <c r="F208" s="279"/>
      <c r="G208" s="273">
        <f t="shared" si="42"/>
        <v>2900000</v>
      </c>
      <c r="H208" s="281">
        <v>3045000</v>
      </c>
      <c r="I208" s="280">
        <f t="shared" si="40"/>
        <v>3197250</v>
      </c>
      <c r="J208" s="280">
        <f t="shared" si="40"/>
        <v>3357112.5</v>
      </c>
      <c r="K208" s="304">
        <v>3045000</v>
      </c>
      <c r="L208" s="305">
        <f t="shared" si="41"/>
        <v>0</v>
      </c>
    </row>
    <row r="209" spans="1:12">
      <c r="A209" s="286"/>
      <c r="B209" s="319"/>
      <c r="C209" s="319"/>
      <c r="D209" s="320" t="s">
        <v>85</v>
      </c>
      <c r="E209" s="322">
        <f>40000000</f>
        <v>40000000</v>
      </c>
      <c r="F209" s="279">
        <v>20000000</v>
      </c>
      <c r="G209" s="273">
        <f t="shared" si="42"/>
        <v>60000000</v>
      </c>
      <c r="H209" s="281">
        <v>60000000</v>
      </c>
      <c r="I209" s="280">
        <f t="shared" si="40"/>
        <v>63000000</v>
      </c>
      <c r="J209" s="280">
        <f t="shared" si="40"/>
        <v>66150000</v>
      </c>
      <c r="K209" s="304">
        <v>21500000</v>
      </c>
      <c r="L209" s="305">
        <f t="shared" si="41"/>
        <v>38500000</v>
      </c>
    </row>
    <row r="210" spans="1:12">
      <c r="A210" s="286"/>
      <c r="B210" s="319"/>
      <c r="C210" s="319"/>
      <c r="D210" s="320" t="s">
        <v>110</v>
      </c>
      <c r="E210" s="322">
        <f>300000</f>
        <v>300000</v>
      </c>
      <c r="F210" s="279"/>
      <c r="G210" s="273">
        <f t="shared" si="42"/>
        <v>300000</v>
      </c>
      <c r="H210" s="281">
        <v>315000</v>
      </c>
      <c r="I210" s="280">
        <f t="shared" si="40"/>
        <v>330750</v>
      </c>
      <c r="J210" s="280">
        <f t="shared" si="40"/>
        <v>347287.5</v>
      </c>
      <c r="K210" s="304">
        <v>315000</v>
      </c>
      <c r="L210" s="305">
        <f t="shared" si="41"/>
        <v>0</v>
      </c>
    </row>
    <row r="211" spans="1:12">
      <c r="A211" s="286" t="s">
        <v>194</v>
      </c>
      <c r="B211" s="325" t="s">
        <v>195</v>
      </c>
      <c r="C211" s="325"/>
      <c r="D211" s="320" t="s">
        <v>168</v>
      </c>
      <c r="E211" s="322">
        <f>2000000</f>
        <v>2000000</v>
      </c>
      <c r="F211" s="279">
        <v>-500000</v>
      </c>
      <c r="G211" s="273">
        <f t="shared" si="42"/>
        <v>1500000</v>
      </c>
      <c r="H211" s="281">
        <v>1575000</v>
      </c>
      <c r="I211" s="280">
        <f t="shared" si="40"/>
        <v>1653750</v>
      </c>
      <c r="J211" s="280">
        <f t="shared" si="40"/>
        <v>1736437.5</v>
      </c>
      <c r="K211" s="304">
        <v>1575000</v>
      </c>
      <c r="L211" s="305">
        <f t="shared" si="41"/>
        <v>0</v>
      </c>
    </row>
    <row r="212" spans="1:12">
      <c r="A212" s="286"/>
      <c r="B212" s="326"/>
      <c r="C212" s="326"/>
      <c r="D212" s="320" t="s">
        <v>85</v>
      </c>
      <c r="E212" s="322">
        <f>4000000</f>
        <v>4000000</v>
      </c>
      <c r="F212" s="279"/>
      <c r="G212" s="273">
        <f t="shared" si="42"/>
        <v>4000000</v>
      </c>
      <c r="H212" s="281">
        <f>3000000</f>
        <v>3000000</v>
      </c>
      <c r="I212" s="280">
        <f t="shared" si="40"/>
        <v>3150000</v>
      </c>
      <c r="J212" s="280">
        <f t="shared" si="40"/>
        <v>3307500</v>
      </c>
      <c r="K212" s="304">
        <v>3000000</v>
      </c>
      <c r="L212" s="305">
        <f t="shared" si="41"/>
        <v>0</v>
      </c>
    </row>
    <row r="213" spans="1:12">
      <c r="A213" s="286"/>
      <c r="B213" s="326"/>
      <c r="C213" s="326"/>
      <c r="D213" s="320" t="s">
        <v>110</v>
      </c>
      <c r="E213" s="322">
        <f>1500000</f>
        <v>1500000</v>
      </c>
      <c r="F213" s="279">
        <v>500000</v>
      </c>
      <c r="G213" s="273">
        <f t="shared" si="42"/>
        <v>2000000</v>
      </c>
      <c r="H213" s="281">
        <v>2100000</v>
      </c>
      <c r="I213" s="280">
        <f t="shared" si="40"/>
        <v>2205000</v>
      </c>
      <c r="J213" s="280">
        <f t="shared" si="40"/>
        <v>2315250</v>
      </c>
      <c r="K213" s="304">
        <v>2100000</v>
      </c>
      <c r="L213" s="305">
        <f t="shared" si="41"/>
        <v>0</v>
      </c>
    </row>
    <row r="214" spans="1:12">
      <c r="A214" s="286"/>
      <c r="B214" s="326"/>
      <c r="C214" s="326"/>
      <c r="D214" s="320" t="s">
        <v>87</v>
      </c>
      <c r="E214" s="322">
        <f>1000000</f>
        <v>1000000</v>
      </c>
      <c r="F214" s="279"/>
      <c r="G214" s="273">
        <f t="shared" si="42"/>
        <v>1000000</v>
      </c>
      <c r="H214" s="281">
        <v>1050000</v>
      </c>
      <c r="I214" s="280">
        <f t="shared" si="40"/>
        <v>1102500</v>
      </c>
      <c r="J214" s="280">
        <f t="shared" si="40"/>
        <v>1157625</v>
      </c>
      <c r="K214" s="304">
        <v>1050000</v>
      </c>
      <c r="L214" s="305">
        <f t="shared" si="41"/>
        <v>0</v>
      </c>
    </row>
    <row r="215" spans="1:12">
      <c r="A215" s="286"/>
      <c r="B215" s="326"/>
      <c r="C215" s="326"/>
      <c r="D215" s="320" t="s">
        <v>89</v>
      </c>
      <c r="E215" s="322">
        <f>3000000</f>
        <v>3000000</v>
      </c>
      <c r="F215" s="279"/>
      <c r="G215" s="273">
        <f t="shared" si="42"/>
        <v>3000000</v>
      </c>
      <c r="H215" s="281">
        <f>2000000</f>
        <v>2000000</v>
      </c>
      <c r="I215" s="280">
        <f t="shared" si="40"/>
        <v>2100000</v>
      </c>
      <c r="J215" s="280">
        <f t="shared" si="40"/>
        <v>2205000</v>
      </c>
      <c r="K215" s="304">
        <v>2000000</v>
      </c>
      <c r="L215" s="305">
        <f t="shared" si="41"/>
        <v>0</v>
      </c>
    </row>
    <row r="216" spans="1:12">
      <c r="A216" s="286"/>
      <c r="B216" s="326"/>
      <c r="C216" s="326"/>
      <c r="D216" s="320" t="s">
        <v>179</v>
      </c>
      <c r="E216" s="322">
        <f>10000000</f>
        <v>10000000</v>
      </c>
      <c r="F216" s="279">
        <v>-500000</v>
      </c>
      <c r="G216" s="273">
        <f t="shared" si="42"/>
        <v>9500000</v>
      </c>
      <c r="H216" s="281">
        <v>9975000</v>
      </c>
      <c r="I216" s="280">
        <f t="shared" si="40"/>
        <v>10473750</v>
      </c>
      <c r="J216" s="280">
        <f t="shared" si="40"/>
        <v>10997437.5</v>
      </c>
      <c r="K216" s="304">
        <v>9975000</v>
      </c>
      <c r="L216" s="305">
        <f t="shared" si="41"/>
        <v>0</v>
      </c>
    </row>
    <row r="217" spans="1:12">
      <c r="A217" s="286"/>
      <c r="B217" s="326"/>
      <c r="C217" s="326"/>
      <c r="D217" s="320" t="s">
        <v>107</v>
      </c>
      <c r="E217" s="322">
        <f>1000000</f>
        <v>1000000</v>
      </c>
      <c r="F217" s="279"/>
      <c r="G217" s="273">
        <f t="shared" si="42"/>
        <v>1000000</v>
      </c>
      <c r="H217" s="281">
        <v>1050000</v>
      </c>
      <c r="I217" s="280">
        <f t="shared" si="40"/>
        <v>1102500</v>
      </c>
      <c r="J217" s="280">
        <f t="shared" si="40"/>
        <v>1157625</v>
      </c>
      <c r="K217" s="304">
        <v>1050000</v>
      </c>
      <c r="L217" s="305">
        <f t="shared" si="41"/>
        <v>0</v>
      </c>
    </row>
    <row r="218" spans="1:12">
      <c r="A218" s="286"/>
      <c r="B218" s="326"/>
      <c r="C218" s="326"/>
      <c r="D218" s="320" t="s">
        <v>196</v>
      </c>
      <c r="E218" s="322"/>
      <c r="F218" s="279">
        <v>0</v>
      </c>
      <c r="G218" s="273">
        <f t="shared" ref="G218:G229" si="43">E218+F218</f>
        <v>0</v>
      </c>
      <c r="H218" s="281">
        <v>0</v>
      </c>
      <c r="I218" s="280">
        <f t="shared" si="40"/>
        <v>0</v>
      </c>
      <c r="J218" s="280">
        <f t="shared" si="40"/>
        <v>0</v>
      </c>
      <c r="K218" s="304">
        <v>0</v>
      </c>
      <c r="L218" s="305">
        <f t="shared" si="41"/>
        <v>0</v>
      </c>
    </row>
    <row r="219" spans="1:12">
      <c r="A219" s="286"/>
      <c r="B219" s="326"/>
      <c r="C219" s="326"/>
      <c r="D219" s="320" t="s">
        <v>197</v>
      </c>
      <c r="E219" s="322">
        <f>3500000</f>
        <v>3500000</v>
      </c>
      <c r="F219" s="279"/>
      <c r="G219" s="273">
        <f t="shared" si="43"/>
        <v>3500000</v>
      </c>
      <c r="H219" s="281">
        <f>2000000</f>
        <v>2000000</v>
      </c>
      <c r="I219" s="280">
        <f t="shared" ref="I219:J282" si="44">H219*1.05</f>
        <v>2100000</v>
      </c>
      <c r="J219" s="280">
        <f t="shared" si="44"/>
        <v>2205000</v>
      </c>
      <c r="K219" s="304">
        <v>2000000</v>
      </c>
      <c r="L219" s="305">
        <f t="shared" si="41"/>
        <v>0</v>
      </c>
    </row>
    <row r="220" spans="1:12">
      <c r="A220" s="286"/>
      <c r="B220" s="326"/>
      <c r="C220" s="326"/>
      <c r="D220" s="320" t="s">
        <v>198</v>
      </c>
      <c r="E220" s="322">
        <f>2000000</f>
        <v>2000000</v>
      </c>
      <c r="F220" s="279">
        <v>-1000000</v>
      </c>
      <c r="G220" s="273">
        <f t="shared" si="43"/>
        <v>1000000</v>
      </c>
      <c r="H220" s="281">
        <v>1050000</v>
      </c>
      <c r="I220" s="280">
        <f t="shared" si="44"/>
        <v>1102500</v>
      </c>
      <c r="J220" s="280">
        <f t="shared" si="44"/>
        <v>1157625</v>
      </c>
      <c r="K220" s="304">
        <v>1050000</v>
      </c>
      <c r="L220" s="305">
        <f t="shared" ref="L220:L230" si="45">H220-K220</f>
        <v>0</v>
      </c>
    </row>
    <row r="221" spans="1:12">
      <c r="A221" s="286"/>
      <c r="B221" s="326"/>
      <c r="C221" s="326"/>
      <c r="D221" s="320" t="s">
        <v>199</v>
      </c>
      <c r="E221" s="322">
        <f>5500000</f>
        <v>5500000</v>
      </c>
      <c r="F221" s="279">
        <v>1500000</v>
      </c>
      <c r="G221" s="273">
        <f t="shared" si="43"/>
        <v>7000000</v>
      </c>
      <c r="H221" s="281">
        <v>0</v>
      </c>
      <c r="I221" s="280">
        <f t="shared" si="44"/>
        <v>0</v>
      </c>
      <c r="J221" s="280">
        <f t="shared" si="44"/>
        <v>0</v>
      </c>
      <c r="K221" s="304">
        <v>0</v>
      </c>
      <c r="L221" s="305">
        <f t="shared" si="45"/>
        <v>0</v>
      </c>
    </row>
    <row r="222" spans="1:12">
      <c r="A222" s="286"/>
      <c r="B222" s="327"/>
      <c r="C222" s="327"/>
      <c r="D222" s="320" t="s">
        <v>200</v>
      </c>
      <c r="E222" s="322">
        <f>1500000</f>
        <v>1500000</v>
      </c>
      <c r="F222" s="279"/>
      <c r="G222" s="273">
        <f t="shared" si="43"/>
        <v>1500000</v>
      </c>
      <c r="H222" s="281">
        <v>1575000</v>
      </c>
      <c r="I222" s="280">
        <f t="shared" si="44"/>
        <v>1653750</v>
      </c>
      <c r="J222" s="280">
        <f t="shared" si="44"/>
        <v>1736437.5</v>
      </c>
      <c r="K222" s="304">
        <v>1575000</v>
      </c>
      <c r="L222" s="305">
        <f t="shared" si="45"/>
        <v>0</v>
      </c>
    </row>
    <row r="223" spans="1:12">
      <c r="A223" s="286"/>
      <c r="B223" s="319" t="s">
        <v>201</v>
      </c>
      <c r="C223" s="319"/>
      <c r="D223" s="320" t="s">
        <v>202</v>
      </c>
      <c r="E223" s="322">
        <f>500000</f>
        <v>500000</v>
      </c>
      <c r="F223" s="279"/>
      <c r="G223" s="273">
        <f t="shared" si="43"/>
        <v>500000</v>
      </c>
      <c r="H223" s="281">
        <v>525000</v>
      </c>
      <c r="I223" s="280">
        <f t="shared" si="44"/>
        <v>551250</v>
      </c>
      <c r="J223" s="280">
        <f t="shared" si="44"/>
        <v>578812.5</v>
      </c>
      <c r="K223" s="304">
        <v>525000</v>
      </c>
      <c r="L223" s="305">
        <f t="shared" si="45"/>
        <v>0</v>
      </c>
    </row>
    <row r="224" spans="1:12">
      <c r="A224" s="286"/>
      <c r="B224" s="319"/>
      <c r="C224" s="319"/>
      <c r="D224" s="320" t="s">
        <v>203</v>
      </c>
      <c r="E224" s="322">
        <f>1000000</f>
        <v>1000000</v>
      </c>
      <c r="F224" s="279">
        <v>-500000</v>
      </c>
      <c r="G224" s="273">
        <f t="shared" si="43"/>
        <v>500000</v>
      </c>
      <c r="H224" s="281">
        <v>525000</v>
      </c>
      <c r="I224" s="280">
        <f t="shared" si="44"/>
        <v>551250</v>
      </c>
      <c r="J224" s="280">
        <f t="shared" si="44"/>
        <v>578812.5</v>
      </c>
      <c r="K224" s="304">
        <v>525000</v>
      </c>
      <c r="L224" s="305">
        <f t="shared" si="45"/>
        <v>0</v>
      </c>
    </row>
    <row r="225" spans="1:12">
      <c r="A225" s="286"/>
      <c r="B225" s="319"/>
      <c r="C225" s="319"/>
      <c r="D225" s="320" t="s">
        <v>204</v>
      </c>
      <c r="E225" s="322">
        <f>1000000</f>
        <v>1000000</v>
      </c>
      <c r="F225" s="279"/>
      <c r="G225" s="273">
        <f t="shared" si="43"/>
        <v>1000000</v>
      </c>
      <c r="H225" s="281">
        <v>1050000</v>
      </c>
      <c r="I225" s="280">
        <f t="shared" si="44"/>
        <v>1102500</v>
      </c>
      <c r="J225" s="280">
        <f t="shared" si="44"/>
        <v>1157625</v>
      </c>
      <c r="K225" s="304">
        <v>1050000</v>
      </c>
      <c r="L225" s="305">
        <f t="shared" si="45"/>
        <v>0</v>
      </c>
    </row>
    <row r="226" spans="1:12">
      <c r="A226" s="286"/>
      <c r="B226" s="319"/>
      <c r="C226" s="319"/>
      <c r="D226" s="320" t="s">
        <v>205</v>
      </c>
      <c r="E226" s="322">
        <f>1000000</f>
        <v>1000000</v>
      </c>
      <c r="F226" s="279"/>
      <c r="G226" s="273">
        <f t="shared" si="43"/>
        <v>1000000</v>
      </c>
      <c r="H226" s="281">
        <v>1050000</v>
      </c>
      <c r="I226" s="280">
        <f t="shared" si="44"/>
        <v>1102500</v>
      </c>
      <c r="J226" s="280">
        <f t="shared" si="44"/>
        <v>1157625</v>
      </c>
      <c r="K226" s="304">
        <v>1050000</v>
      </c>
      <c r="L226" s="305">
        <f t="shared" si="45"/>
        <v>0</v>
      </c>
    </row>
    <row r="227" spans="1:12">
      <c r="A227" s="286"/>
      <c r="B227" s="319"/>
      <c r="C227" s="319"/>
      <c r="D227" s="320" t="s">
        <v>206</v>
      </c>
      <c r="E227" s="322">
        <f>2500000</f>
        <v>2500000</v>
      </c>
      <c r="F227" s="279"/>
      <c r="G227" s="273">
        <f t="shared" si="43"/>
        <v>2500000</v>
      </c>
      <c r="H227" s="281">
        <v>2625000</v>
      </c>
      <c r="I227" s="280">
        <f t="shared" si="44"/>
        <v>2756250</v>
      </c>
      <c r="J227" s="280">
        <f t="shared" si="44"/>
        <v>2894062.5</v>
      </c>
      <c r="K227" s="304">
        <v>2625000</v>
      </c>
      <c r="L227" s="305">
        <f t="shared" si="45"/>
        <v>0</v>
      </c>
    </row>
    <row r="228" spans="1:12">
      <c r="A228" s="286"/>
      <c r="B228" s="319"/>
      <c r="C228" s="319"/>
      <c r="D228" s="320" t="s">
        <v>182</v>
      </c>
      <c r="E228" s="322">
        <f>1000000</f>
        <v>1000000</v>
      </c>
      <c r="F228" s="279"/>
      <c r="G228" s="273">
        <f t="shared" si="43"/>
        <v>1000000</v>
      </c>
      <c r="H228" s="281">
        <v>1050000</v>
      </c>
      <c r="I228" s="280">
        <f t="shared" si="44"/>
        <v>1102500</v>
      </c>
      <c r="J228" s="280">
        <f t="shared" si="44"/>
        <v>1157625</v>
      </c>
      <c r="K228" s="304">
        <v>1050000</v>
      </c>
      <c r="L228" s="305">
        <f t="shared" si="45"/>
        <v>0</v>
      </c>
    </row>
    <row r="229" spans="1:12">
      <c r="A229" s="286"/>
      <c r="B229" s="319"/>
      <c r="C229" s="319"/>
      <c r="D229" s="320" t="s">
        <v>207</v>
      </c>
      <c r="E229" s="322">
        <f>1000000</f>
        <v>1000000</v>
      </c>
      <c r="F229" s="279"/>
      <c r="G229" s="273">
        <f t="shared" si="43"/>
        <v>1000000</v>
      </c>
      <c r="H229" s="281">
        <v>1050000</v>
      </c>
      <c r="I229" s="280">
        <f t="shared" si="44"/>
        <v>1102500</v>
      </c>
      <c r="J229" s="280">
        <f t="shared" si="44"/>
        <v>1157625</v>
      </c>
      <c r="K229" s="304">
        <v>1050000</v>
      </c>
      <c r="L229" s="305">
        <f t="shared" si="45"/>
        <v>0</v>
      </c>
    </row>
    <row r="230" spans="1:12">
      <c r="A230" s="328" t="s">
        <v>162</v>
      </c>
      <c r="B230" s="328"/>
      <c r="C230" s="328"/>
      <c r="D230" s="328"/>
      <c r="E230" s="329">
        <f t="shared" ref="E230" si="46">SUM(E155:E229)</f>
        <v>361008543</v>
      </c>
      <c r="F230" s="330">
        <f t="shared" ref="F230:H230" si="47">SUM(F155:F229)</f>
        <v>2000000</v>
      </c>
      <c r="G230" s="331">
        <f t="shared" si="47"/>
        <v>363008543</v>
      </c>
      <c r="H230" s="331">
        <f t="shared" si="47"/>
        <v>344358969</v>
      </c>
      <c r="I230" s="331">
        <f t="shared" ref="I230:J230" si="48">SUM(I155:I229)</f>
        <v>361576917.45</v>
      </c>
      <c r="J230" s="329">
        <f t="shared" si="48"/>
        <v>379655763.3225</v>
      </c>
      <c r="K230" s="304">
        <v>295396969</v>
      </c>
      <c r="L230" s="305">
        <f t="shared" si="45"/>
        <v>48962000</v>
      </c>
    </row>
    <row r="231" ht="11.25" customHeight="1" spans="1:10">
      <c r="A231" s="277"/>
      <c r="B231" s="278"/>
      <c r="C231" s="278"/>
      <c r="D231" s="278"/>
      <c r="E231" s="278"/>
      <c r="F231" s="279"/>
      <c r="G231" s="280"/>
      <c r="H231" s="281"/>
      <c r="I231" s="280"/>
      <c r="J231" s="280"/>
    </row>
    <row r="232" spans="2:10">
      <c r="B232" s="316" t="s">
        <v>208</v>
      </c>
      <c r="C232" s="317"/>
      <c r="D232" s="317"/>
      <c r="E232" s="317"/>
      <c r="F232" s="317"/>
      <c r="G232" s="317"/>
      <c r="H232" s="332"/>
      <c r="I232" s="324"/>
      <c r="J232" s="324"/>
    </row>
    <row r="233" spans="1:10">
      <c r="A233" s="286" t="s">
        <v>209</v>
      </c>
      <c r="B233" s="319" t="s">
        <v>210</v>
      </c>
      <c r="C233" s="319"/>
      <c r="D233" s="320" t="s">
        <v>166</v>
      </c>
      <c r="E233" s="322">
        <v>151397709</v>
      </c>
      <c r="F233" s="279"/>
      <c r="G233" s="273">
        <f t="shared" ref="G233:G266" si="49">E233+F233</f>
        <v>151397709</v>
      </c>
      <c r="H233" s="281">
        <v>272080358</v>
      </c>
      <c r="I233" s="280">
        <f t="shared" si="44"/>
        <v>285684375.9</v>
      </c>
      <c r="J233" s="280">
        <f>I233*1.05</f>
        <v>299968594.695</v>
      </c>
    </row>
    <row r="234" spans="1:10">
      <c r="A234" s="286"/>
      <c r="B234" s="319"/>
      <c r="C234" s="319"/>
      <c r="D234" s="320" t="s">
        <v>211</v>
      </c>
      <c r="E234" s="322">
        <f>15209687</f>
        <v>15209687</v>
      </c>
      <c r="F234" s="279"/>
      <c r="G234" s="273">
        <f t="shared" si="49"/>
        <v>15209687</v>
      </c>
      <c r="H234" s="281"/>
      <c r="I234" s="280">
        <f t="shared" si="44"/>
        <v>0</v>
      </c>
      <c r="J234" s="280">
        <f t="shared" si="44"/>
        <v>0</v>
      </c>
    </row>
    <row r="235" spans="1:10">
      <c r="A235" s="286"/>
      <c r="B235" s="319"/>
      <c r="C235" s="319"/>
      <c r="D235" s="320" t="s">
        <v>212</v>
      </c>
      <c r="E235" s="322">
        <f>92516754</f>
        <v>92516754</v>
      </c>
      <c r="F235" s="279"/>
      <c r="G235" s="273">
        <f t="shared" si="49"/>
        <v>92516754</v>
      </c>
      <c r="H235" s="281"/>
      <c r="I235" s="280">
        <f t="shared" si="44"/>
        <v>0</v>
      </c>
      <c r="J235" s="280">
        <f t="shared" si="44"/>
        <v>0</v>
      </c>
    </row>
    <row r="236" spans="1:10">
      <c r="A236" s="286"/>
      <c r="B236" s="319"/>
      <c r="C236" s="319"/>
      <c r="D236" s="320" t="s">
        <v>85</v>
      </c>
      <c r="E236" s="322">
        <f>1000000</f>
        <v>1000000</v>
      </c>
      <c r="F236" s="279"/>
      <c r="G236" s="273">
        <f t="shared" si="49"/>
        <v>1000000</v>
      </c>
      <c r="H236" s="281">
        <v>1050000</v>
      </c>
      <c r="I236" s="280">
        <f t="shared" si="44"/>
        <v>1102500</v>
      </c>
      <c r="J236" s="280">
        <f t="shared" si="44"/>
        <v>1157625</v>
      </c>
    </row>
    <row r="237" spans="1:10">
      <c r="A237" s="286"/>
      <c r="B237" s="319"/>
      <c r="C237" s="319"/>
      <c r="D237" s="320" t="s">
        <v>213</v>
      </c>
      <c r="E237" s="322">
        <f>5000000</f>
        <v>5000000</v>
      </c>
      <c r="F237" s="279"/>
      <c r="G237" s="273">
        <f t="shared" si="49"/>
        <v>5000000</v>
      </c>
      <c r="H237" s="281">
        <v>1000000</v>
      </c>
      <c r="I237" s="280">
        <f t="shared" si="44"/>
        <v>1050000</v>
      </c>
      <c r="J237" s="280">
        <f t="shared" si="44"/>
        <v>1102500</v>
      </c>
    </row>
    <row r="238" spans="1:10">
      <c r="A238" s="286"/>
      <c r="B238" s="319"/>
      <c r="C238" s="319"/>
      <c r="D238" s="320" t="s">
        <v>214</v>
      </c>
      <c r="E238" s="322"/>
      <c r="F238" s="279"/>
      <c r="G238" s="273"/>
      <c r="H238" s="281">
        <f>5000000+1300000+2100000+600000</f>
        <v>9000000</v>
      </c>
      <c r="I238" s="280">
        <f t="shared" si="44"/>
        <v>9450000</v>
      </c>
      <c r="J238" s="280">
        <f t="shared" si="44"/>
        <v>9922500</v>
      </c>
    </row>
    <row r="239" spans="1:10">
      <c r="A239" s="286"/>
      <c r="B239" s="319"/>
      <c r="C239" s="319"/>
      <c r="D239" s="320"/>
      <c r="E239" s="322"/>
      <c r="F239" s="279"/>
      <c r="G239" s="273"/>
      <c r="H239" s="281"/>
      <c r="I239" s="280">
        <f t="shared" si="44"/>
        <v>0</v>
      </c>
      <c r="J239" s="280">
        <f t="shared" si="44"/>
        <v>0</v>
      </c>
    </row>
    <row r="240" spans="1:10">
      <c r="A240" s="286"/>
      <c r="B240" s="319"/>
      <c r="C240" s="319"/>
      <c r="D240" s="320" t="s">
        <v>86</v>
      </c>
      <c r="E240" s="322"/>
      <c r="F240" s="279"/>
      <c r="G240" s="273">
        <f t="shared" si="49"/>
        <v>0</v>
      </c>
      <c r="H240" s="281">
        <v>0</v>
      </c>
      <c r="I240" s="280">
        <f t="shared" si="44"/>
        <v>0</v>
      </c>
      <c r="J240" s="280">
        <f t="shared" si="44"/>
        <v>0</v>
      </c>
    </row>
    <row r="241" spans="1:10">
      <c r="A241" s="286"/>
      <c r="B241" s="319"/>
      <c r="C241" s="319"/>
      <c r="D241" s="320" t="s">
        <v>215</v>
      </c>
      <c r="E241" s="322">
        <f>1000000</f>
        <v>1000000</v>
      </c>
      <c r="F241" s="279"/>
      <c r="G241" s="273">
        <f t="shared" si="49"/>
        <v>1000000</v>
      </c>
      <c r="H241" s="281">
        <v>1050000</v>
      </c>
      <c r="I241" s="280">
        <f t="shared" si="44"/>
        <v>1102500</v>
      </c>
      <c r="J241" s="280">
        <f t="shared" si="44"/>
        <v>1157625</v>
      </c>
    </row>
    <row r="242" spans="1:10">
      <c r="A242" s="286"/>
      <c r="B242" s="319"/>
      <c r="C242" s="319"/>
      <c r="D242" s="320" t="s">
        <v>87</v>
      </c>
      <c r="E242" s="322">
        <f>1330000</f>
        <v>1330000</v>
      </c>
      <c r="F242" s="279">
        <v>-1000000</v>
      </c>
      <c r="G242" s="273">
        <f t="shared" si="49"/>
        <v>330000</v>
      </c>
      <c r="H242" s="281">
        <v>346500</v>
      </c>
      <c r="I242" s="280">
        <f t="shared" si="44"/>
        <v>363825</v>
      </c>
      <c r="J242" s="280">
        <f t="shared" si="44"/>
        <v>382016.25</v>
      </c>
    </row>
    <row r="243" spans="1:10">
      <c r="A243" s="286"/>
      <c r="B243" s="319"/>
      <c r="C243" s="319"/>
      <c r="D243" s="320" t="s">
        <v>216</v>
      </c>
      <c r="E243" s="322">
        <f>1220000</f>
        <v>1220000</v>
      </c>
      <c r="F243" s="279"/>
      <c r="G243" s="273">
        <f t="shared" si="49"/>
        <v>1220000</v>
      </c>
      <c r="H243" s="281">
        <v>1281000</v>
      </c>
      <c r="I243" s="280">
        <f t="shared" si="44"/>
        <v>1345050</v>
      </c>
      <c r="J243" s="280">
        <f t="shared" si="44"/>
        <v>1412302.5</v>
      </c>
    </row>
    <row r="244" spans="1:10">
      <c r="A244" s="286"/>
      <c r="B244" s="319"/>
      <c r="C244" s="319"/>
      <c r="D244" s="320" t="s">
        <v>171</v>
      </c>
      <c r="E244" s="322">
        <f>1000000</f>
        <v>1000000</v>
      </c>
      <c r="F244" s="279"/>
      <c r="G244" s="273">
        <f t="shared" si="49"/>
        <v>1000000</v>
      </c>
      <c r="H244" s="281">
        <v>1050000</v>
      </c>
      <c r="I244" s="280">
        <f t="shared" si="44"/>
        <v>1102500</v>
      </c>
      <c r="J244" s="280">
        <f t="shared" si="44"/>
        <v>1157625</v>
      </c>
    </row>
    <row r="245" spans="1:10">
      <c r="A245" s="286"/>
      <c r="B245" s="319"/>
      <c r="C245" s="319"/>
      <c r="D245" s="320" t="s">
        <v>100</v>
      </c>
      <c r="E245" s="322">
        <f>2200000</f>
        <v>2200000</v>
      </c>
      <c r="F245" s="279"/>
      <c r="G245" s="273">
        <f t="shared" si="49"/>
        <v>2200000</v>
      </c>
      <c r="H245" s="281">
        <v>2310000</v>
      </c>
      <c r="I245" s="280">
        <f t="shared" si="44"/>
        <v>2425500</v>
      </c>
      <c r="J245" s="280">
        <f t="shared" si="44"/>
        <v>2546775</v>
      </c>
    </row>
    <row r="246" spans="1:10">
      <c r="A246" s="286"/>
      <c r="B246" s="319"/>
      <c r="C246" s="319"/>
      <c r="D246" s="320" t="s">
        <v>217</v>
      </c>
      <c r="E246" s="322"/>
      <c r="F246" s="279">
        <v>1200000</v>
      </c>
      <c r="G246" s="273">
        <f t="shared" si="49"/>
        <v>1200000</v>
      </c>
      <c r="H246" s="281">
        <v>0</v>
      </c>
      <c r="I246" s="280">
        <f t="shared" si="44"/>
        <v>0</v>
      </c>
      <c r="J246" s="280">
        <f t="shared" si="44"/>
        <v>0</v>
      </c>
    </row>
    <row r="247" spans="1:10">
      <c r="A247" s="286"/>
      <c r="B247" s="319"/>
      <c r="C247" s="319"/>
      <c r="D247" s="320" t="s">
        <v>218</v>
      </c>
      <c r="E247" s="322">
        <f>1600000</f>
        <v>1600000</v>
      </c>
      <c r="F247" s="279"/>
      <c r="G247" s="273">
        <f t="shared" si="49"/>
        <v>1600000</v>
      </c>
      <c r="H247" s="281">
        <v>1680000</v>
      </c>
      <c r="I247" s="280">
        <f t="shared" si="44"/>
        <v>1764000</v>
      </c>
      <c r="J247" s="280">
        <f t="shared" si="44"/>
        <v>1852200</v>
      </c>
    </row>
    <row r="248" spans="1:10">
      <c r="A248" s="286"/>
      <c r="B248" s="319" t="s">
        <v>219</v>
      </c>
      <c r="C248" s="319"/>
      <c r="D248" s="320" t="s">
        <v>167</v>
      </c>
      <c r="E248" s="322">
        <f>1100000</f>
        <v>1100000</v>
      </c>
      <c r="F248" s="279"/>
      <c r="G248" s="273">
        <f t="shared" si="49"/>
        <v>1100000</v>
      </c>
      <c r="H248" s="281">
        <v>1155000</v>
      </c>
      <c r="I248" s="280">
        <f t="shared" si="44"/>
        <v>1212750</v>
      </c>
      <c r="J248" s="280">
        <f t="shared" si="44"/>
        <v>1273387.5</v>
      </c>
    </row>
    <row r="249" spans="1:10">
      <c r="A249" s="286"/>
      <c r="B249" s="319"/>
      <c r="C249" s="319"/>
      <c r="D249" s="320" t="s">
        <v>220</v>
      </c>
      <c r="E249" s="322">
        <f>550000</f>
        <v>550000</v>
      </c>
      <c r="F249" s="279"/>
      <c r="G249" s="273">
        <f t="shared" si="49"/>
        <v>550000</v>
      </c>
      <c r="H249" s="281">
        <v>577500</v>
      </c>
      <c r="I249" s="280">
        <f t="shared" si="44"/>
        <v>606375</v>
      </c>
      <c r="J249" s="280">
        <f t="shared" si="44"/>
        <v>636693.75</v>
      </c>
    </row>
    <row r="250" ht="42" spans="1:10">
      <c r="A250" s="286"/>
      <c r="B250" s="319"/>
      <c r="C250" s="319"/>
      <c r="D250" s="320" t="s">
        <v>221</v>
      </c>
      <c r="E250" s="322">
        <f>500000</f>
        <v>500000</v>
      </c>
      <c r="F250" s="279"/>
      <c r="G250" s="273">
        <f t="shared" si="49"/>
        <v>500000</v>
      </c>
      <c r="H250" s="281">
        <v>525000</v>
      </c>
      <c r="I250" s="280">
        <f t="shared" si="44"/>
        <v>551250</v>
      </c>
      <c r="J250" s="280">
        <f t="shared" si="44"/>
        <v>578812.5</v>
      </c>
    </row>
    <row r="251" spans="1:10">
      <c r="A251" s="286"/>
      <c r="B251" s="319"/>
      <c r="C251" s="319"/>
      <c r="D251" s="320" t="s">
        <v>145</v>
      </c>
      <c r="E251" s="322">
        <f>1000000</f>
        <v>1000000</v>
      </c>
      <c r="F251" s="279"/>
      <c r="G251" s="273">
        <f t="shared" si="49"/>
        <v>1000000</v>
      </c>
      <c r="H251" s="281">
        <v>1050000</v>
      </c>
      <c r="I251" s="280">
        <f t="shared" si="44"/>
        <v>1102500</v>
      </c>
      <c r="J251" s="280">
        <f t="shared" si="44"/>
        <v>1157625</v>
      </c>
    </row>
    <row r="252" spans="1:10">
      <c r="A252" s="286" t="s">
        <v>222</v>
      </c>
      <c r="B252" s="319" t="s">
        <v>223</v>
      </c>
      <c r="C252" s="319"/>
      <c r="D252" s="320" t="s">
        <v>85</v>
      </c>
      <c r="E252" s="322">
        <f>1200000</f>
        <v>1200000</v>
      </c>
      <c r="F252" s="279"/>
      <c r="G252" s="273">
        <f t="shared" si="49"/>
        <v>1200000</v>
      </c>
      <c r="H252" s="281">
        <v>1260000</v>
      </c>
      <c r="I252" s="280">
        <f t="shared" si="44"/>
        <v>1323000</v>
      </c>
      <c r="J252" s="280">
        <f t="shared" si="44"/>
        <v>1389150</v>
      </c>
    </row>
    <row r="253" spans="1:10">
      <c r="A253" s="286"/>
      <c r="B253" s="319"/>
      <c r="C253" s="319"/>
      <c r="D253" s="320" t="s">
        <v>171</v>
      </c>
      <c r="E253" s="322">
        <f>220000</f>
        <v>220000</v>
      </c>
      <c r="F253" s="279"/>
      <c r="G253" s="273">
        <f t="shared" si="49"/>
        <v>220000</v>
      </c>
      <c r="H253" s="281">
        <v>231000</v>
      </c>
      <c r="I253" s="280">
        <f t="shared" si="44"/>
        <v>242550</v>
      </c>
      <c r="J253" s="280">
        <f t="shared" si="44"/>
        <v>254677.5</v>
      </c>
    </row>
    <row r="254" spans="1:10">
      <c r="A254" s="286"/>
      <c r="B254" s="319"/>
      <c r="C254" s="319"/>
      <c r="D254" s="320" t="s">
        <v>100</v>
      </c>
      <c r="E254" s="322">
        <f>550000</f>
        <v>550000</v>
      </c>
      <c r="F254" s="279"/>
      <c r="G254" s="273">
        <f t="shared" si="49"/>
        <v>550000</v>
      </c>
      <c r="H254" s="281">
        <v>577500</v>
      </c>
      <c r="I254" s="280">
        <f t="shared" si="44"/>
        <v>606375</v>
      </c>
      <c r="J254" s="280">
        <f t="shared" si="44"/>
        <v>636693.75</v>
      </c>
    </row>
    <row r="255" spans="1:10">
      <c r="A255" s="286"/>
      <c r="B255" s="319" t="s">
        <v>224</v>
      </c>
      <c r="C255" s="319"/>
      <c r="D255" s="320" t="s">
        <v>85</v>
      </c>
      <c r="E255" s="322">
        <f>1200000</f>
        <v>1200000</v>
      </c>
      <c r="F255" s="279"/>
      <c r="G255" s="273">
        <f t="shared" si="49"/>
        <v>1200000</v>
      </c>
      <c r="H255" s="281">
        <v>1260000</v>
      </c>
      <c r="I255" s="280">
        <f t="shared" si="44"/>
        <v>1323000</v>
      </c>
      <c r="J255" s="280">
        <f t="shared" si="44"/>
        <v>1389150</v>
      </c>
    </row>
    <row r="256" spans="1:10">
      <c r="A256" s="286"/>
      <c r="B256" s="319"/>
      <c r="C256" s="319"/>
      <c r="D256" s="320" t="s">
        <v>171</v>
      </c>
      <c r="E256" s="322">
        <f>400000</f>
        <v>400000</v>
      </c>
      <c r="F256" s="279">
        <v>-100000</v>
      </c>
      <c r="G256" s="273">
        <f t="shared" si="49"/>
        <v>300000</v>
      </c>
      <c r="H256" s="281">
        <v>315000</v>
      </c>
      <c r="I256" s="280">
        <f t="shared" si="44"/>
        <v>330750</v>
      </c>
      <c r="J256" s="280">
        <f t="shared" si="44"/>
        <v>347287.5</v>
      </c>
    </row>
    <row r="257" spans="1:10">
      <c r="A257" s="286"/>
      <c r="B257" s="319"/>
      <c r="C257" s="319"/>
      <c r="D257" s="320" t="s">
        <v>100</v>
      </c>
      <c r="E257" s="322">
        <f>1100000</f>
        <v>1100000</v>
      </c>
      <c r="F257" s="279"/>
      <c r="G257" s="273">
        <f t="shared" si="49"/>
        <v>1100000</v>
      </c>
      <c r="H257" s="281">
        <v>1155000</v>
      </c>
      <c r="I257" s="280">
        <f t="shared" si="44"/>
        <v>1212750</v>
      </c>
      <c r="J257" s="280">
        <f t="shared" si="44"/>
        <v>1273387.5</v>
      </c>
    </row>
    <row r="258" ht="7.5" customHeight="1" spans="1:10">
      <c r="A258" s="286"/>
      <c r="B258" s="319"/>
      <c r="C258" s="319"/>
      <c r="D258" s="320"/>
      <c r="E258" s="322"/>
      <c r="F258" s="279"/>
      <c r="G258" s="273">
        <f t="shared" si="49"/>
        <v>0</v>
      </c>
      <c r="H258" s="281">
        <v>0</v>
      </c>
      <c r="I258" s="280">
        <f t="shared" si="44"/>
        <v>0</v>
      </c>
      <c r="J258" s="280">
        <f t="shared" si="44"/>
        <v>0</v>
      </c>
    </row>
    <row r="259" spans="1:10">
      <c r="A259" s="286" t="s">
        <v>225</v>
      </c>
      <c r="B259" s="319" t="s">
        <v>226</v>
      </c>
      <c r="C259" s="319"/>
      <c r="D259" s="320" t="s">
        <v>85</v>
      </c>
      <c r="E259" s="322">
        <f>550000</f>
        <v>550000</v>
      </c>
      <c r="F259" s="279"/>
      <c r="G259" s="273">
        <f t="shared" si="49"/>
        <v>550000</v>
      </c>
      <c r="H259" s="281">
        <v>577500</v>
      </c>
      <c r="I259" s="280">
        <f t="shared" si="44"/>
        <v>606375</v>
      </c>
      <c r="J259" s="280">
        <f t="shared" si="44"/>
        <v>636693.75</v>
      </c>
    </row>
    <row r="260" spans="1:10">
      <c r="A260" s="286"/>
      <c r="B260" s="319"/>
      <c r="C260" s="319"/>
      <c r="D260" s="320" t="s">
        <v>171</v>
      </c>
      <c r="E260" s="322">
        <f>400000</f>
        <v>400000</v>
      </c>
      <c r="F260" s="279"/>
      <c r="G260" s="273">
        <f t="shared" si="49"/>
        <v>400000</v>
      </c>
      <c r="H260" s="281">
        <v>420000</v>
      </c>
      <c r="I260" s="280">
        <f t="shared" si="44"/>
        <v>441000</v>
      </c>
      <c r="J260" s="280">
        <f t="shared" si="44"/>
        <v>463050</v>
      </c>
    </row>
    <row r="261" spans="1:10">
      <c r="A261" s="286"/>
      <c r="B261" s="319"/>
      <c r="C261" s="319"/>
      <c r="D261" s="320" t="s">
        <v>100</v>
      </c>
      <c r="E261" s="322">
        <f>1100000</f>
        <v>1100000</v>
      </c>
      <c r="F261" s="279"/>
      <c r="G261" s="273">
        <f t="shared" si="49"/>
        <v>1100000</v>
      </c>
      <c r="H261" s="281">
        <v>1155000</v>
      </c>
      <c r="I261" s="280">
        <f t="shared" si="44"/>
        <v>1212750</v>
      </c>
      <c r="J261" s="280">
        <f t="shared" si="44"/>
        <v>1273387.5</v>
      </c>
    </row>
    <row r="262" spans="1:10">
      <c r="A262" s="286"/>
      <c r="B262" s="319" t="s">
        <v>227</v>
      </c>
      <c r="C262" s="319"/>
      <c r="D262" s="320" t="s">
        <v>85</v>
      </c>
      <c r="E262" s="322">
        <f>1070000</f>
        <v>1070000</v>
      </c>
      <c r="F262" s="279"/>
      <c r="G262" s="273">
        <f t="shared" si="49"/>
        <v>1070000</v>
      </c>
      <c r="H262" s="281">
        <v>1123500</v>
      </c>
      <c r="I262" s="280">
        <f t="shared" si="44"/>
        <v>1179675</v>
      </c>
      <c r="J262" s="280">
        <f t="shared" si="44"/>
        <v>1238658.75</v>
      </c>
    </row>
    <row r="263" spans="1:10">
      <c r="A263" s="286"/>
      <c r="B263" s="319"/>
      <c r="C263" s="319"/>
      <c r="D263" s="320" t="s">
        <v>228</v>
      </c>
      <c r="E263" s="322">
        <f>180000</f>
        <v>180000</v>
      </c>
      <c r="F263" s="279"/>
      <c r="G263" s="273">
        <f t="shared" si="49"/>
        <v>180000</v>
      </c>
      <c r="H263" s="281">
        <v>189000</v>
      </c>
      <c r="I263" s="280">
        <f t="shared" si="44"/>
        <v>198450</v>
      </c>
      <c r="J263" s="280">
        <f t="shared" si="44"/>
        <v>208372.5</v>
      </c>
    </row>
    <row r="264" spans="1:10">
      <c r="A264" s="286"/>
      <c r="B264" s="319"/>
      <c r="C264" s="319"/>
      <c r="D264" s="320" t="s">
        <v>171</v>
      </c>
      <c r="E264" s="322">
        <f>1100000</f>
        <v>1100000</v>
      </c>
      <c r="F264" s="279">
        <v>-300000</v>
      </c>
      <c r="G264" s="273">
        <f t="shared" si="49"/>
        <v>800000</v>
      </c>
      <c r="H264" s="281">
        <v>840000</v>
      </c>
      <c r="I264" s="280">
        <f t="shared" si="44"/>
        <v>882000</v>
      </c>
      <c r="J264" s="280">
        <f t="shared" si="44"/>
        <v>926100</v>
      </c>
    </row>
    <row r="265" spans="1:10">
      <c r="A265" s="286"/>
      <c r="B265" s="319"/>
      <c r="C265" s="319"/>
      <c r="D265" s="320" t="s">
        <v>100</v>
      </c>
      <c r="E265" s="322">
        <f>1320000</f>
        <v>1320000</v>
      </c>
      <c r="F265" s="279"/>
      <c r="G265" s="273">
        <f t="shared" si="49"/>
        <v>1320000</v>
      </c>
      <c r="H265" s="281">
        <v>1386000</v>
      </c>
      <c r="I265" s="280">
        <f t="shared" si="44"/>
        <v>1455300</v>
      </c>
      <c r="J265" s="280">
        <f t="shared" si="44"/>
        <v>1528065</v>
      </c>
    </row>
    <row r="266" spans="1:10">
      <c r="A266" s="286"/>
      <c r="B266" s="319"/>
      <c r="C266" s="319"/>
      <c r="D266" s="320" t="s">
        <v>229</v>
      </c>
      <c r="E266" s="322"/>
      <c r="F266" s="279"/>
      <c r="G266" s="273">
        <f t="shared" si="49"/>
        <v>0</v>
      </c>
      <c r="H266" s="281">
        <v>0</v>
      </c>
      <c r="I266" s="280">
        <f t="shared" si="44"/>
        <v>0</v>
      </c>
      <c r="J266" s="280">
        <f t="shared" si="44"/>
        <v>0</v>
      </c>
    </row>
    <row r="267" spans="1:10">
      <c r="A267" s="309" t="s">
        <v>162</v>
      </c>
      <c r="B267" s="309"/>
      <c r="C267" s="309"/>
      <c r="D267" s="309"/>
      <c r="E267" s="310">
        <f t="shared" ref="E267" si="50">SUM(E233:E266)</f>
        <v>287014150</v>
      </c>
      <c r="F267" s="311">
        <f t="shared" ref="F267:J267" si="51">SUM(F233:F266)</f>
        <v>-200000</v>
      </c>
      <c r="G267" s="333">
        <f t="shared" si="51"/>
        <v>286814150</v>
      </c>
      <c r="H267" s="334">
        <f t="shared" si="51"/>
        <v>304644858</v>
      </c>
      <c r="I267" s="334">
        <f t="shared" si="51"/>
        <v>319877100.9</v>
      </c>
      <c r="J267" s="342">
        <f t="shared" si="51"/>
        <v>335870955.945</v>
      </c>
    </row>
    <row r="268" spans="1:10">
      <c r="A268" s="335"/>
      <c r="B268" s="336"/>
      <c r="C268" s="336"/>
      <c r="D268" s="336"/>
      <c r="E268" s="336"/>
      <c r="F268" s="279"/>
      <c r="G268" s="273">
        <f t="shared" ref="G268:G299" si="52">E268+F268</f>
        <v>0</v>
      </c>
      <c r="H268" s="281"/>
      <c r="I268" s="280"/>
      <c r="J268" s="280"/>
    </row>
    <row r="269" spans="1:10">
      <c r="A269" s="337" t="s">
        <v>230</v>
      </c>
      <c r="B269" s="338"/>
      <c r="C269" s="338"/>
      <c r="D269" s="338"/>
      <c r="E269" s="338"/>
      <c r="F269" s="338"/>
      <c r="G269" s="338"/>
      <c r="H269" s="338"/>
      <c r="I269" s="343"/>
      <c r="J269" s="343"/>
    </row>
    <row r="270" spans="1:10">
      <c r="A270" s="286" t="s">
        <v>231</v>
      </c>
      <c r="B270" s="287" t="s">
        <v>232</v>
      </c>
      <c r="C270" s="287"/>
      <c r="D270" s="320" t="s">
        <v>233</v>
      </c>
      <c r="E270" s="322">
        <f>12929487</f>
        <v>12929487</v>
      </c>
      <c r="F270" s="279"/>
      <c r="G270" s="273">
        <f t="shared" si="52"/>
        <v>12929487</v>
      </c>
      <c r="H270" s="281">
        <v>13575961</v>
      </c>
      <c r="I270" s="280">
        <f t="shared" si="44"/>
        <v>14254759.05</v>
      </c>
      <c r="J270" s="280">
        <f>I270*1.05</f>
        <v>14967497.0025</v>
      </c>
    </row>
    <row r="271" spans="1:10">
      <c r="A271" s="286"/>
      <c r="B271" s="287"/>
      <c r="C271" s="287"/>
      <c r="D271" s="320" t="s">
        <v>85</v>
      </c>
      <c r="E271" s="322">
        <f>2100000</f>
        <v>2100000</v>
      </c>
      <c r="F271" s="279"/>
      <c r="G271" s="273">
        <f t="shared" si="52"/>
        <v>2100000</v>
      </c>
      <c r="H271" s="281">
        <f>1000000</f>
        <v>1000000</v>
      </c>
      <c r="I271" s="280">
        <f t="shared" si="44"/>
        <v>1050000</v>
      </c>
      <c r="J271" s="280">
        <f t="shared" si="44"/>
        <v>1102500</v>
      </c>
    </row>
    <row r="272" spans="1:10">
      <c r="A272" s="286"/>
      <c r="B272" s="287"/>
      <c r="C272" s="287"/>
      <c r="D272" s="320" t="s">
        <v>94</v>
      </c>
      <c r="E272" s="322">
        <f>850000</f>
        <v>850000</v>
      </c>
      <c r="F272" s="279">
        <v>-300000</v>
      </c>
      <c r="G272" s="273">
        <f t="shared" si="52"/>
        <v>550000</v>
      </c>
      <c r="H272" s="281">
        <v>565574</v>
      </c>
      <c r="I272" s="280">
        <f t="shared" si="44"/>
        <v>593852.7</v>
      </c>
      <c r="J272" s="280">
        <f t="shared" si="44"/>
        <v>623545.335</v>
      </c>
    </row>
    <row r="273" spans="1:10">
      <c r="A273" s="286"/>
      <c r="B273" s="287"/>
      <c r="C273" s="287"/>
      <c r="D273" s="320" t="s">
        <v>100</v>
      </c>
      <c r="E273" s="322"/>
      <c r="F273" s="279"/>
      <c r="G273" s="273">
        <f t="shared" si="52"/>
        <v>0</v>
      </c>
      <c r="H273" s="281"/>
      <c r="I273" s="280">
        <f t="shared" si="44"/>
        <v>0</v>
      </c>
      <c r="J273" s="280">
        <f t="shared" si="44"/>
        <v>0</v>
      </c>
    </row>
    <row r="274" spans="1:10">
      <c r="A274" s="286"/>
      <c r="B274" s="287"/>
      <c r="C274" s="287"/>
      <c r="D274" s="320" t="s">
        <v>234</v>
      </c>
      <c r="E274" s="322"/>
      <c r="F274" s="279"/>
      <c r="G274" s="273">
        <f t="shared" si="52"/>
        <v>0</v>
      </c>
      <c r="H274" s="281"/>
      <c r="I274" s="280">
        <f t="shared" si="44"/>
        <v>0</v>
      </c>
      <c r="J274" s="280">
        <f t="shared" si="44"/>
        <v>0</v>
      </c>
    </row>
    <row r="275" spans="1:10">
      <c r="A275" s="286"/>
      <c r="B275" s="287"/>
      <c r="C275" s="287"/>
      <c r="D275" s="320" t="s">
        <v>235</v>
      </c>
      <c r="E275" s="322">
        <f>770000</f>
        <v>770000</v>
      </c>
      <c r="F275" s="279">
        <v>-300000</v>
      </c>
      <c r="G275" s="273">
        <f t="shared" si="52"/>
        <v>470000</v>
      </c>
      <c r="H275" s="281">
        <v>1720000</v>
      </c>
      <c r="I275" s="280">
        <f t="shared" si="44"/>
        <v>1806000</v>
      </c>
      <c r="J275" s="280">
        <f t="shared" si="44"/>
        <v>1896300</v>
      </c>
    </row>
    <row r="276" spans="1:10">
      <c r="A276" s="286"/>
      <c r="B276" s="287"/>
      <c r="C276" s="287"/>
      <c r="D276" s="320" t="s">
        <v>236</v>
      </c>
      <c r="E276" s="322"/>
      <c r="F276" s="279"/>
      <c r="G276" s="273"/>
      <c r="H276" s="281">
        <v>2760000</v>
      </c>
      <c r="I276" s="280">
        <f t="shared" si="44"/>
        <v>2898000</v>
      </c>
      <c r="J276" s="280">
        <f t="shared" si="44"/>
        <v>3042900</v>
      </c>
    </row>
    <row r="277" spans="1:10">
      <c r="A277" s="286"/>
      <c r="B277" s="287"/>
      <c r="C277" s="287"/>
      <c r="D277" s="320" t="s">
        <v>237</v>
      </c>
      <c r="E277" s="322">
        <f>2284000</f>
        <v>2284000</v>
      </c>
      <c r="F277" s="279">
        <v>-500000</v>
      </c>
      <c r="G277" s="273">
        <f t="shared" si="52"/>
        <v>1784000</v>
      </c>
      <c r="H277" s="281">
        <v>1840000</v>
      </c>
      <c r="I277" s="280">
        <f t="shared" si="44"/>
        <v>1932000</v>
      </c>
      <c r="J277" s="280">
        <f t="shared" si="44"/>
        <v>2028600</v>
      </c>
    </row>
    <row r="278" spans="1:10">
      <c r="A278" s="286"/>
      <c r="B278" s="287"/>
      <c r="C278" s="287"/>
      <c r="D278" s="320" t="s">
        <v>238</v>
      </c>
      <c r="E278" s="322"/>
      <c r="F278" s="279"/>
      <c r="G278" s="273">
        <f t="shared" si="52"/>
        <v>0</v>
      </c>
      <c r="H278" s="281"/>
      <c r="I278" s="280">
        <f t="shared" si="44"/>
        <v>0</v>
      </c>
      <c r="J278" s="280">
        <f t="shared" si="44"/>
        <v>0</v>
      </c>
    </row>
    <row r="279" spans="1:10">
      <c r="A279" s="286"/>
      <c r="B279" s="319" t="s">
        <v>239</v>
      </c>
      <c r="C279" s="319"/>
      <c r="D279" s="320" t="s">
        <v>240</v>
      </c>
      <c r="E279" s="339">
        <v>1670900</v>
      </c>
      <c r="F279" s="279"/>
      <c r="G279" s="273">
        <f t="shared" si="52"/>
        <v>1670900</v>
      </c>
      <c r="H279" s="281">
        <v>1670900</v>
      </c>
      <c r="I279" s="280">
        <f t="shared" si="44"/>
        <v>1754445</v>
      </c>
      <c r="J279" s="280">
        <f t="shared" si="44"/>
        <v>1842167.25</v>
      </c>
    </row>
    <row r="280" spans="1:10">
      <c r="A280" s="286"/>
      <c r="B280" s="319"/>
      <c r="C280" s="319"/>
      <c r="D280" s="313" t="s">
        <v>241</v>
      </c>
      <c r="E280" s="339">
        <v>2750000</v>
      </c>
      <c r="F280" s="279"/>
      <c r="G280" s="273">
        <f t="shared" si="52"/>
        <v>2750000</v>
      </c>
      <c r="H280" s="281">
        <v>2750000</v>
      </c>
      <c r="I280" s="280">
        <f t="shared" si="44"/>
        <v>2887500</v>
      </c>
      <c r="J280" s="280">
        <f t="shared" si="44"/>
        <v>3031875</v>
      </c>
    </row>
    <row r="281" spans="1:10">
      <c r="A281" s="286"/>
      <c r="B281" s="319"/>
      <c r="C281" s="319"/>
      <c r="D281" s="313" t="s">
        <v>242</v>
      </c>
      <c r="E281" s="339">
        <v>350100</v>
      </c>
      <c r="F281" s="279"/>
      <c r="G281" s="273">
        <f t="shared" si="52"/>
        <v>350100</v>
      </c>
      <c r="H281" s="281"/>
      <c r="I281" s="280">
        <f t="shared" si="44"/>
        <v>0</v>
      </c>
      <c r="J281" s="280">
        <f t="shared" si="44"/>
        <v>0</v>
      </c>
    </row>
    <row r="282" spans="1:10">
      <c r="A282" s="286"/>
      <c r="B282" s="319"/>
      <c r="C282" s="319"/>
      <c r="D282" s="313" t="s">
        <v>243</v>
      </c>
      <c r="E282" s="339">
        <v>2150000</v>
      </c>
      <c r="F282" s="279">
        <v>-1000000</v>
      </c>
      <c r="G282" s="273">
        <f t="shared" si="52"/>
        <v>1150000</v>
      </c>
      <c r="H282" s="281"/>
      <c r="I282" s="280">
        <f t="shared" si="44"/>
        <v>0</v>
      </c>
      <c r="J282" s="280">
        <f t="shared" si="44"/>
        <v>0</v>
      </c>
    </row>
    <row r="283" spans="1:10">
      <c r="A283" s="286"/>
      <c r="B283" s="319"/>
      <c r="C283" s="319"/>
      <c r="D283" s="313" t="s">
        <v>244</v>
      </c>
      <c r="E283" s="339">
        <v>500000</v>
      </c>
      <c r="F283" s="279"/>
      <c r="G283" s="273">
        <f t="shared" si="52"/>
        <v>500000</v>
      </c>
      <c r="H283" s="281"/>
      <c r="I283" s="280">
        <f t="shared" ref="I283:J346" si="53">H283*1.05</f>
        <v>0</v>
      </c>
      <c r="J283" s="280">
        <f t="shared" si="53"/>
        <v>0</v>
      </c>
    </row>
    <row r="284" ht="42" spans="1:10">
      <c r="A284" s="286"/>
      <c r="B284" s="319"/>
      <c r="C284" s="319"/>
      <c r="D284" s="313" t="s">
        <v>245</v>
      </c>
      <c r="E284" s="339">
        <v>450000</v>
      </c>
      <c r="F284" s="279"/>
      <c r="G284" s="273">
        <f t="shared" si="52"/>
        <v>450000</v>
      </c>
      <c r="H284" s="281">
        <v>450000</v>
      </c>
      <c r="I284" s="280">
        <f t="shared" si="53"/>
        <v>472500</v>
      </c>
      <c r="J284" s="280">
        <f t="shared" si="53"/>
        <v>496125</v>
      </c>
    </row>
    <row r="285" spans="1:10">
      <c r="A285" s="286" t="s">
        <v>246</v>
      </c>
      <c r="B285" s="319" t="s">
        <v>247</v>
      </c>
      <c r="C285" s="319"/>
      <c r="D285" s="313" t="s">
        <v>248</v>
      </c>
      <c r="E285" s="339">
        <v>880000</v>
      </c>
      <c r="F285" s="279"/>
      <c r="G285" s="273">
        <f t="shared" si="52"/>
        <v>880000</v>
      </c>
      <c r="H285" s="281">
        <v>880000</v>
      </c>
      <c r="I285" s="280">
        <f t="shared" si="53"/>
        <v>924000</v>
      </c>
      <c r="J285" s="280">
        <f t="shared" si="53"/>
        <v>970200</v>
      </c>
    </row>
    <row r="286" spans="1:10">
      <c r="A286" s="286"/>
      <c r="B286" s="319"/>
      <c r="C286" s="319"/>
      <c r="D286" s="313" t="s">
        <v>249</v>
      </c>
      <c r="E286" s="339">
        <v>2750000</v>
      </c>
      <c r="F286" s="279">
        <v>-1000000</v>
      </c>
      <c r="G286" s="273">
        <f t="shared" si="52"/>
        <v>1750000</v>
      </c>
      <c r="H286" s="281">
        <v>2750000</v>
      </c>
      <c r="I286" s="280">
        <f t="shared" si="53"/>
        <v>2887500</v>
      </c>
      <c r="J286" s="280">
        <f t="shared" si="53"/>
        <v>3031875</v>
      </c>
    </row>
    <row r="287" ht="42" spans="1:10">
      <c r="A287" s="286"/>
      <c r="B287" s="319"/>
      <c r="C287" s="319"/>
      <c r="D287" s="313" t="s">
        <v>250</v>
      </c>
      <c r="E287" s="339">
        <v>700000</v>
      </c>
      <c r="F287" s="279"/>
      <c r="G287" s="273">
        <f t="shared" si="52"/>
        <v>700000</v>
      </c>
      <c r="H287" s="281">
        <v>700000</v>
      </c>
      <c r="I287" s="280">
        <f t="shared" si="53"/>
        <v>735000</v>
      </c>
      <c r="J287" s="280">
        <f t="shared" si="53"/>
        <v>771750</v>
      </c>
    </row>
    <row r="288" ht="42" spans="1:10">
      <c r="A288" s="286"/>
      <c r="B288" s="319"/>
      <c r="C288" s="319"/>
      <c r="D288" s="313" t="s">
        <v>251</v>
      </c>
      <c r="E288" s="339">
        <v>990000</v>
      </c>
      <c r="F288" s="279"/>
      <c r="G288" s="273">
        <f t="shared" si="52"/>
        <v>990000</v>
      </c>
      <c r="H288" s="281"/>
      <c r="I288" s="280">
        <f t="shared" si="53"/>
        <v>0</v>
      </c>
      <c r="J288" s="280">
        <f t="shared" si="53"/>
        <v>0</v>
      </c>
    </row>
    <row r="289" spans="1:10">
      <c r="A289" s="286"/>
      <c r="B289" s="319"/>
      <c r="C289" s="319"/>
      <c r="D289" s="313" t="s">
        <v>252</v>
      </c>
      <c r="E289" s="339">
        <v>2450000</v>
      </c>
      <c r="F289" s="279">
        <v>-1000000</v>
      </c>
      <c r="G289" s="273">
        <f t="shared" si="52"/>
        <v>1450000</v>
      </c>
      <c r="H289" s="281">
        <v>880000</v>
      </c>
      <c r="I289" s="280">
        <f t="shared" si="53"/>
        <v>924000</v>
      </c>
      <c r="J289" s="280">
        <f t="shared" si="53"/>
        <v>970200</v>
      </c>
    </row>
    <row r="290" ht="9" customHeight="1" spans="1:10">
      <c r="A290" s="286"/>
      <c r="B290" s="319"/>
      <c r="C290" s="319"/>
      <c r="D290" s="313"/>
      <c r="E290" s="339"/>
      <c r="F290" s="279"/>
      <c r="G290" s="273">
        <f t="shared" si="52"/>
        <v>0</v>
      </c>
      <c r="H290" s="281"/>
      <c r="I290" s="280">
        <f t="shared" si="53"/>
        <v>0</v>
      </c>
      <c r="J290" s="280">
        <f t="shared" si="53"/>
        <v>0</v>
      </c>
    </row>
    <row r="291" spans="1:10">
      <c r="A291" s="286" t="s">
        <v>253</v>
      </c>
      <c r="B291" s="325" t="s">
        <v>254</v>
      </c>
      <c r="C291" s="325"/>
      <c r="D291" s="320" t="s">
        <v>255</v>
      </c>
      <c r="E291" s="322">
        <f>2200000</f>
        <v>2200000</v>
      </c>
      <c r="F291" s="279">
        <v>-200000</v>
      </c>
      <c r="G291" s="273">
        <f t="shared" si="52"/>
        <v>2000000</v>
      </c>
      <c r="H291" s="281">
        <v>2000000</v>
      </c>
      <c r="I291" s="280">
        <f t="shared" si="53"/>
        <v>2100000</v>
      </c>
      <c r="J291" s="280">
        <f t="shared" si="53"/>
        <v>2205000</v>
      </c>
    </row>
    <row r="292" ht="9.75" customHeight="1" spans="1:10">
      <c r="A292" s="286"/>
      <c r="B292" s="326"/>
      <c r="C292" s="326"/>
      <c r="D292" s="320"/>
      <c r="E292" s="322">
        <f>750000</f>
        <v>750000</v>
      </c>
      <c r="F292" s="279"/>
      <c r="G292" s="273">
        <f t="shared" si="52"/>
        <v>750000</v>
      </c>
      <c r="H292" s="281"/>
      <c r="I292" s="280">
        <f t="shared" si="53"/>
        <v>0</v>
      </c>
      <c r="J292" s="280">
        <f t="shared" si="53"/>
        <v>0</v>
      </c>
    </row>
    <row r="293" spans="1:10">
      <c r="A293" s="286"/>
      <c r="B293" s="326"/>
      <c r="C293" s="326"/>
      <c r="D293" s="320" t="s">
        <v>256</v>
      </c>
      <c r="E293" s="322">
        <f>2550000</f>
        <v>2550000</v>
      </c>
      <c r="F293" s="279">
        <v>2000000</v>
      </c>
      <c r="G293" s="273">
        <f t="shared" si="52"/>
        <v>4550000</v>
      </c>
      <c r="H293" s="281">
        <v>750000</v>
      </c>
      <c r="I293" s="280">
        <f t="shared" si="53"/>
        <v>787500</v>
      </c>
      <c r="J293" s="280">
        <f t="shared" si="53"/>
        <v>826875</v>
      </c>
    </row>
    <row r="294" ht="42" spans="1:10">
      <c r="A294" s="286"/>
      <c r="B294" s="326"/>
      <c r="C294" s="326"/>
      <c r="D294" s="320" t="s">
        <v>245</v>
      </c>
      <c r="E294" s="322"/>
      <c r="F294" s="279"/>
      <c r="G294" s="273"/>
      <c r="H294" s="281">
        <v>655000</v>
      </c>
      <c r="I294" s="280">
        <f t="shared" si="53"/>
        <v>687750</v>
      </c>
      <c r="J294" s="280">
        <f t="shared" si="53"/>
        <v>722137.5</v>
      </c>
    </row>
    <row r="295" spans="1:10">
      <c r="A295" s="286"/>
      <c r="B295" s="326"/>
      <c r="C295" s="326"/>
      <c r="D295" s="320" t="s">
        <v>87</v>
      </c>
      <c r="E295" s="322"/>
      <c r="F295" s="279"/>
      <c r="G295" s="273"/>
      <c r="H295" s="281">
        <v>400000</v>
      </c>
      <c r="I295" s="280">
        <f t="shared" si="53"/>
        <v>420000</v>
      </c>
      <c r="J295" s="280">
        <f t="shared" si="53"/>
        <v>441000</v>
      </c>
    </row>
    <row r="296" spans="1:10">
      <c r="A296" s="286"/>
      <c r="B296" s="327"/>
      <c r="C296" s="327"/>
      <c r="D296" s="320" t="s">
        <v>257</v>
      </c>
      <c r="E296" s="322">
        <f>655000</f>
        <v>655000</v>
      </c>
      <c r="F296" s="279"/>
      <c r="G296" s="273">
        <f t="shared" si="52"/>
        <v>655000</v>
      </c>
      <c r="H296" s="281">
        <f>1000000</f>
        <v>1000000</v>
      </c>
      <c r="I296" s="280">
        <f t="shared" si="53"/>
        <v>1050000</v>
      </c>
      <c r="J296" s="280">
        <f t="shared" si="53"/>
        <v>1102500</v>
      </c>
    </row>
    <row r="297" ht="42" spans="1:10">
      <c r="A297" s="286" t="s">
        <v>258</v>
      </c>
      <c r="B297" s="319" t="s">
        <v>259</v>
      </c>
      <c r="C297" s="319"/>
      <c r="D297" s="313" t="s">
        <v>245</v>
      </c>
      <c r="E297" s="322"/>
      <c r="F297" s="279"/>
      <c r="G297" s="273">
        <f t="shared" si="52"/>
        <v>0</v>
      </c>
      <c r="H297" s="281"/>
      <c r="I297" s="280">
        <f t="shared" si="53"/>
        <v>0</v>
      </c>
      <c r="J297" s="280">
        <f t="shared" si="53"/>
        <v>0</v>
      </c>
    </row>
    <row r="298" spans="1:10">
      <c r="A298" s="286"/>
      <c r="B298" s="319"/>
      <c r="C298" s="319"/>
      <c r="D298" s="320" t="s">
        <v>85</v>
      </c>
      <c r="E298" s="322"/>
      <c r="F298" s="279"/>
      <c r="G298" s="273">
        <f t="shared" si="52"/>
        <v>0</v>
      </c>
      <c r="H298" s="281"/>
      <c r="I298" s="280">
        <f t="shared" si="53"/>
        <v>0</v>
      </c>
      <c r="J298" s="280">
        <f t="shared" si="53"/>
        <v>0</v>
      </c>
    </row>
    <row r="299" spans="1:10">
      <c r="A299" s="286"/>
      <c r="B299" s="319"/>
      <c r="C299" s="319"/>
      <c r="D299" s="320" t="s">
        <v>87</v>
      </c>
      <c r="E299" s="322"/>
      <c r="F299" s="279"/>
      <c r="G299" s="273">
        <f t="shared" si="52"/>
        <v>0</v>
      </c>
      <c r="H299" s="281"/>
      <c r="I299" s="280">
        <f t="shared" si="53"/>
        <v>0</v>
      </c>
      <c r="J299" s="280">
        <f t="shared" si="53"/>
        <v>0</v>
      </c>
    </row>
    <row r="300" ht="25.5" customHeight="1" spans="4:10">
      <c r="D300" s="320" t="s">
        <v>260</v>
      </c>
      <c r="E300" s="310">
        <f t="shared" ref="E300" si="54">SUM(E270:E299)</f>
        <v>40729487</v>
      </c>
      <c r="F300" s="311">
        <f t="shared" ref="F300:G300" si="55">SUM(F270:F299)</f>
        <v>-2300000</v>
      </c>
      <c r="G300" s="333">
        <f t="shared" si="55"/>
        <v>38429487</v>
      </c>
      <c r="H300" s="340"/>
      <c r="I300" s="280">
        <f t="shared" si="53"/>
        <v>0</v>
      </c>
      <c r="J300" s="280">
        <f t="shared" si="53"/>
        <v>0</v>
      </c>
    </row>
    <row r="301" spans="1:10">
      <c r="A301" s="309" t="s">
        <v>162</v>
      </c>
      <c r="B301" s="309"/>
      <c r="C301" s="309"/>
      <c r="D301" s="309" t="s">
        <v>162</v>
      </c>
      <c r="E301" s="336"/>
      <c r="F301" s="279"/>
      <c r="G301" s="273">
        <f t="shared" ref="G301:G338" si="56">E301+F301</f>
        <v>0</v>
      </c>
      <c r="H301" s="341">
        <f>SUM(H270:H300)</f>
        <v>36347435</v>
      </c>
      <c r="I301" s="344">
        <f>SUM(I270:I300)</f>
        <v>38164806.75</v>
      </c>
      <c r="J301" s="344">
        <f t="shared" ref="J301" si="57">SUM(J270:J300)</f>
        <v>40073047.0875</v>
      </c>
    </row>
    <row r="302" spans="1:10">
      <c r="A302" s="337" t="s">
        <v>261</v>
      </c>
      <c r="B302" s="338" t="s">
        <v>55</v>
      </c>
      <c r="C302" s="338"/>
      <c r="D302" s="338"/>
      <c r="E302" s="338"/>
      <c r="F302" s="338"/>
      <c r="G302" s="338"/>
      <c r="H302" s="338"/>
      <c r="I302" s="343"/>
      <c r="J302" s="343"/>
    </row>
    <row r="303" spans="1:10">
      <c r="A303" s="286" t="s">
        <v>209</v>
      </c>
      <c r="B303" s="319" t="s">
        <v>262</v>
      </c>
      <c r="C303" s="319"/>
      <c r="D303" s="320" t="s">
        <v>166</v>
      </c>
      <c r="E303" s="322">
        <f>15000000</f>
        <v>15000000</v>
      </c>
      <c r="F303" s="279"/>
      <c r="G303" s="273">
        <f t="shared" si="56"/>
        <v>15000000</v>
      </c>
      <c r="H303" s="281">
        <v>15750000</v>
      </c>
      <c r="I303" s="280">
        <f t="shared" si="53"/>
        <v>16537500</v>
      </c>
      <c r="J303" s="280">
        <f>I303*1.05</f>
        <v>17364375</v>
      </c>
    </row>
    <row r="304" spans="1:10">
      <c r="A304" s="286"/>
      <c r="B304" s="319"/>
      <c r="C304" s="319"/>
      <c r="D304" s="320" t="s">
        <v>263</v>
      </c>
      <c r="E304" s="322"/>
      <c r="F304" s="279"/>
      <c r="G304" s="273"/>
      <c r="H304" s="281">
        <v>1000000</v>
      </c>
      <c r="I304" s="280">
        <f t="shared" si="53"/>
        <v>1050000</v>
      </c>
      <c r="J304" s="280">
        <f t="shared" si="53"/>
        <v>1102500</v>
      </c>
    </row>
    <row r="305" spans="1:10">
      <c r="A305" s="286"/>
      <c r="B305" s="319"/>
      <c r="C305" s="319"/>
      <c r="D305" s="320" t="s">
        <v>264</v>
      </c>
      <c r="E305" s="322">
        <f>120000</f>
        <v>120000</v>
      </c>
      <c r="F305" s="279"/>
      <c r="G305" s="273">
        <f t="shared" si="56"/>
        <v>120000</v>
      </c>
      <c r="H305" s="281"/>
      <c r="I305" s="280">
        <f t="shared" si="53"/>
        <v>0</v>
      </c>
      <c r="J305" s="280">
        <f t="shared" si="53"/>
        <v>0</v>
      </c>
    </row>
    <row r="306" spans="1:10">
      <c r="A306" s="286"/>
      <c r="B306" s="319"/>
      <c r="C306" s="319"/>
      <c r="D306" s="320" t="s">
        <v>85</v>
      </c>
      <c r="E306" s="322">
        <f>1000000</f>
        <v>1000000</v>
      </c>
      <c r="F306" s="279"/>
      <c r="G306" s="273">
        <f t="shared" si="56"/>
        <v>1000000</v>
      </c>
      <c r="H306" s="281"/>
      <c r="I306" s="280">
        <f t="shared" si="53"/>
        <v>0</v>
      </c>
      <c r="J306" s="280">
        <f t="shared" si="53"/>
        <v>0</v>
      </c>
    </row>
    <row r="307" spans="1:10">
      <c r="A307" s="286"/>
      <c r="B307" s="319"/>
      <c r="C307" s="319"/>
      <c r="D307" s="320" t="s">
        <v>89</v>
      </c>
      <c r="E307" s="322">
        <f>100000</f>
        <v>100000</v>
      </c>
      <c r="F307" s="279"/>
      <c r="G307" s="273">
        <f t="shared" si="56"/>
        <v>100000</v>
      </c>
      <c r="H307" s="281">
        <f>500000</f>
        <v>500000</v>
      </c>
      <c r="I307" s="280">
        <f t="shared" si="53"/>
        <v>525000</v>
      </c>
      <c r="J307" s="280">
        <f t="shared" si="53"/>
        <v>551250</v>
      </c>
    </row>
    <row r="308" spans="1:10">
      <c r="A308" s="286"/>
      <c r="B308" s="319"/>
      <c r="C308" s="319"/>
      <c r="D308" s="320" t="s">
        <v>93</v>
      </c>
      <c r="E308" s="322">
        <f>1000000</f>
        <v>1000000</v>
      </c>
      <c r="F308" s="279"/>
      <c r="G308" s="273">
        <f t="shared" si="56"/>
        <v>1000000</v>
      </c>
      <c r="H308" s="281">
        <f>1000000</f>
        <v>1000000</v>
      </c>
      <c r="I308" s="280">
        <f t="shared" si="53"/>
        <v>1050000</v>
      </c>
      <c r="J308" s="280">
        <f t="shared" si="53"/>
        <v>1102500</v>
      </c>
    </row>
    <row r="309" spans="1:10">
      <c r="A309" s="286"/>
      <c r="B309" s="319"/>
      <c r="C309" s="319"/>
      <c r="D309" s="320" t="s">
        <v>167</v>
      </c>
      <c r="E309" s="322">
        <f>1100000</f>
        <v>1100000</v>
      </c>
      <c r="F309" s="279"/>
      <c r="G309" s="273">
        <f t="shared" si="56"/>
        <v>1100000</v>
      </c>
      <c r="H309" s="281"/>
      <c r="I309" s="280">
        <f t="shared" si="53"/>
        <v>0</v>
      </c>
      <c r="J309" s="280">
        <f t="shared" si="53"/>
        <v>0</v>
      </c>
    </row>
    <row r="310" spans="1:10">
      <c r="A310" s="286"/>
      <c r="B310" s="319"/>
      <c r="C310" s="319"/>
      <c r="D310" s="320" t="s">
        <v>265</v>
      </c>
      <c r="E310" s="322"/>
      <c r="F310" s="279"/>
      <c r="G310" s="273"/>
      <c r="H310" s="281">
        <v>500000</v>
      </c>
      <c r="I310" s="280">
        <f t="shared" si="53"/>
        <v>525000</v>
      </c>
      <c r="J310" s="280">
        <f t="shared" si="53"/>
        <v>551250</v>
      </c>
    </row>
    <row r="311" spans="1:10">
      <c r="A311" s="286"/>
      <c r="B311" s="319"/>
      <c r="C311" s="319"/>
      <c r="D311" s="320" t="s">
        <v>266</v>
      </c>
      <c r="E311" s="322">
        <f>0</f>
        <v>0</v>
      </c>
      <c r="F311" s="279"/>
      <c r="G311" s="273">
        <f t="shared" si="56"/>
        <v>0</v>
      </c>
      <c r="H311" s="281"/>
      <c r="I311" s="280">
        <f t="shared" si="53"/>
        <v>0</v>
      </c>
      <c r="J311" s="280">
        <f t="shared" si="53"/>
        <v>0</v>
      </c>
    </row>
    <row r="312" spans="1:10">
      <c r="A312" s="286"/>
      <c r="B312" s="319"/>
      <c r="C312" s="319"/>
      <c r="D312" s="320" t="s">
        <v>267</v>
      </c>
      <c r="E312" s="322">
        <f>500000</f>
        <v>500000</v>
      </c>
      <c r="F312" s="279"/>
      <c r="G312" s="273">
        <f t="shared" si="56"/>
        <v>500000</v>
      </c>
      <c r="H312" s="281">
        <f>1000000</f>
        <v>1000000</v>
      </c>
      <c r="I312" s="280">
        <f t="shared" si="53"/>
        <v>1050000</v>
      </c>
      <c r="J312" s="280">
        <f t="shared" si="53"/>
        <v>1102500</v>
      </c>
    </row>
    <row r="313" spans="1:10">
      <c r="A313" s="286"/>
      <c r="B313" s="319"/>
      <c r="C313" s="319"/>
      <c r="D313" s="320" t="s">
        <v>228</v>
      </c>
      <c r="E313" s="322">
        <f>200000</f>
        <v>200000</v>
      </c>
      <c r="F313" s="279"/>
      <c r="G313" s="273">
        <f t="shared" si="56"/>
        <v>200000</v>
      </c>
      <c r="H313" s="281">
        <f>1000000</f>
        <v>1000000</v>
      </c>
      <c r="I313" s="280">
        <f t="shared" si="53"/>
        <v>1050000</v>
      </c>
      <c r="J313" s="280">
        <f t="shared" si="53"/>
        <v>1102500</v>
      </c>
    </row>
    <row r="314" spans="1:10">
      <c r="A314" s="286"/>
      <c r="B314" s="319"/>
      <c r="C314" s="319"/>
      <c r="D314" s="320" t="s">
        <v>268</v>
      </c>
      <c r="E314" s="322">
        <f>700000</f>
        <v>700000</v>
      </c>
      <c r="F314" s="279"/>
      <c r="G314" s="273">
        <f t="shared" si="56"/>
        <v>700000</v>
      </c>
      <c r="H314" s="281"/>
      <c r="I314" s="280">
        <f t="shared" si="53"/>
        <v>0</v>
      </c>
      <c r="J314" s="280">
        <f t="shared" si="53"/>
        <v>0</v>
      </c>
    </row>
    <row r="315" spans="1:10">
      <c r="A315" s="286"/>
      <c r="B315" s="319"/>
      <c r="C315" s="319"/>
      <c r="D315" s="320" t="s">
        <v>269</v>
      </c>
      <c r="E315" s="322">
        <f>0</f>
        <v>0</v>
      </c>
      <c r="F315" s="279"/>
      <c r="G315" s="273">
        <f t="shared" si="56"/>
        <v>0</v>
      </c>
      <c r="H315" s="281"/>
      <c r="I315" s="280">
        <f t="shared" si="53"/>
        <v>0</v>
      </c>
      <c r="J315" s="280">
        <f t="shared" si="53"/>
        <v>0</v>
      </c>
    </row>
    <row r="316" spans="1:10">
      <c r="A316" s="286"/>
      <c r="B316" s="319"/>
      <c r="C316" s="319"/>
      <c r="D316" s="320" t="s">
        <v>270</v>
      </c>
      <c r="E316" s="322">
        <f>300000</f>
        <v>300000</v>
      </c>
      <c r="F316" s="279"/>
      <c r="G316" s="273">
        <f t="shared" si="56"/>
        <v>300000</v>
      </c>
      <c r="H316" s="281"/>
      <c r="I316" s="280">
        <f t="shared" si="53"/>
        <v>0</v>
      </c>
      <c r="J316" s="280">
        <f t="shared" si="53"/>
        <v>0</v>
      </c>
    </row>
    <row r="317" spans="1:10">
      <c r="A317" s="286"/>
      <c r="B317" s="319"/>
      <c r="C317" s="319"/>
      <c r="D317" s="320" t="s">
        <v>271</v>
      </c>
      <c r="E317" s="322">
        <f>300000</f>
        <v>300000</v>
      </c>
      <c r="F317" s="279"/>
      <c r="G317" s="273">
        <f t="shared" si="56"/>
        <v>300000</v>
      </c>
      <c r="H317" s="281"/>
      <c r="I317" s="280">
        <f t="shared" si="53"/>
        <v>0</v>
      </c>
      <c r="J317" s="280">
        <f t="shared" si="53"/>
        <v>0</v>
      </c>
    </row>
    <row r="318" spans="1:10">
      <c r="A318" s="286"/>
      <c r="B318" s="319"/>
      <c r="C318" s="319"/>
      <c r="D318" s="320" t="s">
        <v>89</v>
      </c>
      <c r="E318" s="322">
        <f>200000</f>
        <v>200000</v>
      </c>
      <c r="F318" s="279"/>
      <c r="G318" s="273">
        <f t="shared" si="56"/>
        <v>200000</v>
      </c>
      <c r="H318" s="281"/>
      <c r="I318" s="280">
        <f t="shared" si="53"/>
        <v>0</v>
      </c>
      <c r="J318" s="280">
        <f t="shared" si="53"/>
        <v>0</v>
      </c>
    </row>
    <row r="319" spans="1:10">
      <c r="A319" s="286"/>
      <c r="B319" s="319"/>
      <c r="C319" s="319"/>
      <c r="D319" s="320" t="s">
        <v>272</v>
      </c>
      <c r="E319" s="322">
        <f>500000</f>
        <v>500000</v>
      </c>
      <c r="F319" s="279"/>
      <c r="G319" s="273">
        <f t="shared" si="56"/>
        <v>500000</v>
      </c>
      <c r="H319" s="281">
        <f>1000000</f>
        <v>1000000</v>
      </c>
      <c r="I319" s="280">
        <f t="shared" si="53"/>
        <v>1050000</v>
      </c>
      <c r="J319" s="280">
        <f t="shared" si="53"/>
        <v>1102500</v>
      </c>
    </row>
    <row r="320" spans="1:10">
      <c r="A320" s="286"/>
      <c r="B320" s="319"/>
      <c r="C320" s="319"/>
      <c r="D320" s="320" t="s">
        <v>273</v>
      </c>
      <c r="E320" s="322">
        <f>6000000</f>
        <v>6000000</v>
      </c>
      <c r="F320" s="279"/>
      <c r="G320" s="273">
        <f t="shared" si="56"/>
        <v>6000000</v>
      </c>
      <c r="H320" s="281">
        <v>2000000</v>
      </c>
      <c r="I320" s="280">
        <f t="shared" si="53"/>
        <v>2100000</v>
      </c>
      <c r="J320" s="280">
        <f t="shared" si="53"/>
        <v>2205000</v>
      </c>
    </row>
    <row r="321" spans="1:10">
      <c r="A321" s="286"/>
      <c r="B321" s="319"/>
      <c r="C321" s="319"/>
      <c r="D321" s="320" t="s">
        <v>274</v>
      </c>
      <c r="E321" s="322">
        <f>300000</f>
        <v>300000</v>
      </c>
      <c r="F321" s="279"/>
      <c r="G321" s="273">
        <f t="shared" si="56"/>
        <v>300000</v>
      </c>
      <c r="H321" s="281"/>
      <c r="I321" s="280">
        <f t="shared" si="53"/>
        <v>0</v>
      </c>
      <c r="J321" s="280">
        <f t="shared" si="53"/>
        <v>0</v>
      </c>
    </row>
    <row r="322" spans="1:10">
      <c r="A322" s="286"/>
      <c r="B322" s="319"/>
      <c r="C322" s="319"/>
      <c r="D322" s="320" t="s">
        <v>100</v>
      </c>
      <c r="E322" s="322">
        <f>1000000</f>
        <v>1000000</v>
      </c>
      <c r="F322" s="279"/>
      <c r="G322" s="273">
        <f t="shared" si="56"/>
        <v>1000000</v>
      </c>
      <c r="H322" s="281">
        <f>1500000</f>
        <v>1500000</v>
      </c>
      <c r="I322" s="280">
        <f t="shared" si="53"/>
        <v>1575000</v>
      </c>
      <c r="J322" s="280">
        <f t="shared" si="53"/>
        <v>1653750</v>
      </c>
    </row>
    <row r="323" spans="1:10">
      <c r="A323" s="286" t="s">
        <v>275</v>
      </c>
      <c r="B323" s="319" t="s">
        <v>276</v>
      </c>
      <c r="C323" s="319"/>
      <c r="D323" s="320" t="s">
        <v>277</v>
      </c>
      <c r="E323" s="322">
        <f>300000</f>
        <v>300000</v>
      </c>
      <c r="F323" s="279"/>
      <c r="G323" s="273">
        <f t="shared" si="56"/>
        <v>300000</v>
      </c>
      <c r="H323" s="281">
        <f>1000000</f>
        <v>1000000</v>
      </c>
      <c r="I323" s="280">
        <f t="shared" si="53"/>
        <v>1050000</v>
      </c>
      <c r="J323" s="280">
        <f t="shared" si="53"/>
        <v>1102500</v>
      </c>
    </row>
    <row r="324" spans="1:10">
      <c r="A324" s="286"/>
      <c r="B324" s="319"/>
      <c r="C324" s="319"/>
      <c r="D324" s="320" t="s">
        <v>278</v>
      </c>
      <c r="E324" s="322"/>
      <c r="F324" s="279"/>
      <c r="G324" s="273">
        <f t="shared" si="56"/>
        <v>0</v>
      </c>
      <c r="H324" s="281"/>
      <c r="I324" s="280">
        <f t="shared" si="53"/>
        <v>0</v>
      </c>
      <c r="J324" s="280">
        <f t="shared" si="53"/>
        <v>0</v>
      </c>
    </row>
    <row r="325" spans="1:10">
      <c r="A325" s="286"/>
      <c r="B325" s="319"/>
      <c r="C325" s="319"/>
      <c r="D325" s="320" t="s">
        <v>270</v>
      </c>
      <c r="E325" s="322"/>
      <c r="F325" s="279"/>
      <c r="G325" s="273">
        <f t="shared" si="56"/>
        <v>0</v>
      </c>
      <c r="H325" s="281"/>
      <c r="I325" s="280">
        <f t="shared" si="53"/>
        <v>0</v>
      </c>
      <c r="J325" s="280">
        <f t="shared" si="53"/>
        <v>0</v>
      </c>
    </row>
    <row r="326" spans="1:10">
      <c r="A326" s="286"/>
      <c r="B326" s="319"/>
      <c r="C326" s="319"/>
      <c r="D326" s="320" t="s">
        <v>89</v>
      </c>
      <c r="E326" s="322"/>
      <c r="F326" s="279"/>
      <c r="G326" s="273">
        <f t="shared" si="56"/>
        <v>0</v>
      </c>
      <c r="H326" s="281"/>
      <c r="I326" s="280">
        <f t="shared" si="53"/>
        <v>0</v>
      </c>
      <c r="J326" s="280">
        <f t="shared" si="53"/>
        <v>0</v>
      </c>
    </row>
    <row r="327" spans="1:10">
      <c r="A327" s="286"/>
      <c r="B327" s="319"/>
      <c r="C327" s="319"/>
      <c r="D327" s="320" t="s">
        <v>145</v>
      </c>
      <c r="E327" s="322"/>
      <c r="F327" s="279"/>
      <c r="G327" s="273">
        <f t="shared" si="56"/>
        <v>0</v>
      </c>
      <c r="H327" s="281"/>
      <c r="I327" s="280">
        <f t="shared" si="53"/>
        <v>0</v>
      </c>
      <c r="J327" s="280">
        <f t="shared" si="53"/>
        <v>0</v>
      </c>
    </row>
    <row r="328" spans="1:10">
      <c r="A328" s="286"/>
      <c r="B328" s="319"/>
      <c r="C328" s="319"/>
      <c r="D328" s="320" t="s">
        <v>271</v>
      </c>
      <c r="E328" s="322">
        <f>80000</f>
        <v>80000</v>
      </c>
      <c r="F328" s="279"/>
      <c r="G328" s="273">
        <f t="shared" si="56"/>
        <v>80000</v>
      </c>
      <c r="H328" s="281"/>
      <c r="I328" s="280">
        <f t="shared" si="53"/>
        <v>0</v>
      </c>
      <c r="J328" s="280">
        <f t="shared" si="53"/>
        <v>0</v>
      </c>
    </row>
    <row r="329" spans="1:10">
      <c r="A329" s="286"/>
      <c r="B329" s="319"/>
      <c r="C329" s="319"/>
      <c r="D329" s="320" t="s">
        <v>279</v>
      </c>
      <c r="E329" s="322">
        <f>200000</f>
        <v>200000</v>
      </c>
      <c r="F329" s="279"/>
      <c r="G329" s="273">
        <f t="shared" si="56"/>
        <v>200000</v>
      </c>
      <c r="H329" s="281"/>
      <c r="I329" s="280">
        <f t="shared" si="53"/>
        <v>0</v>
      </c>
      <c r="J329" s="280">
        <f t="shared" si="53"/>
        <v>0</v>
      </c>
    </row>
    <row r="330" spans="1:10">
      <c r="A330" s="286"/>
      <c r="B330" s="319"/>
      <c r="C330" s="319"/>
      <c r="D330" s="320" t="s">
        <v>280</v>
      </c>
      <c r="E330" s="322"/>
      <c r="F330" s="279"/>
      <c r="G330" s="273">
        <f t="shared" si="56"/>
        <v>0</v>
      </c>
      <c r="H330" s="281"/>
      <c r="I330" s="280">
        <f t="shared" si="53"/>
        <v>0</v>
      </c>
      <c r="J330" s="280">
        <f t="shared" si="53"/>
        <v>0</v>
      </c>
    </row>
    <row r="331" spans="1:10">
      <c r="A331" s="286"/>
      <c r="B331" s="319"/>
      <c r="C331" s="319"/>
      <c r="D331" s="320" t="s">
        <v>228</v>
      </c>
      <c r="E331" s="322">
        <f>150706</f>
        <v>150706</v>
      </c>
      <c r="F331" s="279"/>
      <c r="G331" s="273">
        <f t="shared" si="56"/>
        <v>150706</v>
      </c>
      <c r="H331" s="281"/>
      <c r="I331" s="280">
        <f t="shared" si="53"/>
        <v>0</v>
      </c>
      <c r="J331" s="280">
        <f t="shared" si="53"/>
        <v>0</v>
      </c>
    </row>
    <row r="332" spans="1:10">
      <c r="A332" s="286" t="s">
        <v>281</v>
      </c>
      <c r="B332" s="319" t="s">
        <v>282</v>
      </c>
      <c r="C332" s="319"/>
      <c r="D332" s="320" t="s">
        <v>283</v>
      </c>
      <c r="E332" s="322"/>
      <c r="F332" s="279"/>
      <c r="G332" s="273">
        <f t="shared" si="56"/>
        <v>0</v>
      </c>
      <c r="H332" s="281"/>
      <c r="I332" s="280">
        <f t="shared" si="53"/>
        <v>0</v>
      </c>
      <c r="J332" s="280">
        <f t="shared" si="53"/>
        <v>0</v>
      </c>
    </row>
    <row r="333" spans="1:10">
      <c r="A333" s="286"/>
      <c r="B333" s="319"/>
      <c r="C333" s="319"/>
      <c r="D333" s="320" t="s">
        <v>284</v>
      </c>
      <c r="E333" s="322">
        <f>5000000</f>
        <v>5000000</v>
      </c>
      <c r="F333" s="279"/>
      <c r="G333" s="273">
        <f t="shared" si="56"/>
        <v>5000000</v>
      </c>
      <c r="I333" s="280">
        <f t="shared" si="53"/>
        <v>0</v>
      </c>
      <c r="J333" s="280">
        <f t="shared" si="53"/>
        <v>0</v>
      </c>
    </row>
    <row r="334" spans="1:10">
      <c r="A334" s="286"/>
      <c r="B334" s="319"/>
      <c r="C334" s="319"/>
      <c r="D334" s="320" t="s">
        <v>85</v>
      </c>
      <c r="E334" s="322">
        <f>500000</f>
        <v>500000</v>
      </c>
      <c r="F334" s="279"/>
      <c r="G334" s="273">
        <f t="shared" si="56"/>
        <v>500000</v>
      </c>
      <c r="H334" s="281">
        <v>1000000</v>
      </c>
      <c r="I334" s="280">
        <f t="shared" si="53"/>
        <v>1050000</v>
      </c>
      <c r="J334" s="280">
        <f t="shared" si="53"/>
        <v>1102500</v>
      </c>
    </row>
    <row r="335" spans="1:10">
      <c r="A335" s="286"/>
      <c r="B335" s="319"/>
      <c r="C335" s="319"/>
      <c r="D335" s="320" t="s">
        <v>171</v>
      </c>
      <c r="E335" s="322">
        <f>150000</f>
        <v>150000</v>
      </c>
      <c r="F335" s="279">
        <v>100000</v>
      </c>
      <c r="G335" s="273">
        <f t="shared" si="56"/>
        <v>250000</v>
      </c>
      <c r="H335" s="281">
        <f>1000000</f>
        <v>1000000</v>
      </c>
      <c r="I335" s="280">
        <f t="shared" si="53"/>
        <v>1050000</v>
      </c>
      <c r="J335" s="280">
        <f t="shared" si="53"/>
        <v>1102500</v>
      </c>
    </row>
    <row r="336" spans="1:10">
      <c r="A336" s="286"/>
      <c r="B336" s="319"/>
      <c r="C336" s="319"/>
      <c r="D336" s="320" t="s">
        <v>89</v>
      </c>
      <c r="E336" s="322"/>
      <c r="F336" s="279"/>
      <c r="G336" s="273">
        <f t="shared" si="56"/>
        <v>0</v>
      </c>
      <c r="H336" s="281">
        <f>1500000</f>
        <v>1500000</v>
      </c>
      <c r="I336" s="280">
        <f t="shared" si="53"/>
        <v>1575000</v>
      </c>
      <c r="J336" s="280">
        <f t="shared" si="53"/>
        <v>1653750</v>
      </c>
    </row>
    <row r="337" spans="1:10">
      <c r="A337" s="286"/>
      <c r="B337" s="319"/>
      <c r="C337" s="319"/>
      <c r="D337" s="320" t="s">
        <v>285</v>
      </c>
      <c r="E337" s="322">
        <f>6000000</f>
        <v>6000000</v>
      </c>
      <c r="F337" s="279">
        <v>5100000</v>
      </c>
      <c r="G337" s="273">
        <f t="shared" si="56"/>
        <v>11100000</v>
      </c>
      <c r="H337" s="281">
        <f>5000000</f>
        <v>5000000</v>
      </c>
      <c r="I337" s="280">
        <f t="shared" si="53"/>
        <v>5250000</v>
      </c>
      <c r="J337" s="280">
        <f t="shared" si="53"/>
        <v>5512500</v>
      </c>
    </row>
    <row r="338" spans="1:10">
      <c r="A338" s="286"/>
      <c r="B338" s="319"/>
      <c r="C338" s="319"/>
      <c r="D338" s="320" t="s">
        <v>286</v>
      </c>
      <c r="E338" s="322"/>
      <c r="F338" s="279">
        <v>0</v>
      </c>
      <c r="G338" s="273">
        <f t="shared" si="56"/>
        <v>0</v>
      </c>
      <c r="H338" s="281"/>
      <c r="I338" s="280">
        <f t="shared" si="53"/>
        <v>0</v>
      </c>
      <c r="J338" s="280">
        <f t="shared" si="53"/>
        <v>0</v>
      </c>
    </row>
    <row r="339" ht="6.75" customHeight="1" spans="1:10">
      <c r="A339" s="286"/>
      <c r="B339" s="319"/>
      <c r="C339" s="319"/>
      <c r="D339" s="320"/>
      <c r="E339" s="322"/>
      <c r="F339" s="279"/>
      <c r="G339" s="273"/>
      <c r="H339" s="281"/>
      <c r="I339" s="280">
        <f t="shared" si="53"/>
        <v>0</v>
      </c>
      <c r="J339" s="280">
        <f t="shared" si="53"/>
        <v>0</v>
      </c>
    </row>
    <row r="340" spans="1:10">
      <c r="A340" s="286"/>
      <c r="B340" s="319"/>
      <c r="C340" s="319"/>
      <c r="D340" s="320" t="s">
        <v>287</v>
      </c>
      <c r="E340" s="322">
        <f>1000000</f>
        <v>1000000</v>
      </c>
      <c r="F340" s="279"/>
      <c r="G340" s="273">
        <f t="shared" ref="G340:G364" si="58">E340+F340</f>
        <v>1000000</v>
      </c>
      <c r="H340" s="281">
        <f>3000000</f>
        <v>3000000</v>
      </c>
      <c r="I340" s="280">
        <f t="shared" si="53"/>
        <v>3150000</v>
      </c>
      <c r="J340" s="280">
        <f t="shared" si="53"/>
        <v>3307500</v>
      </c>
    </row>
    <row r="341" spans="1:10">
      <c r="A341" s="286"/>
      <c r="B341" s="319"/>
      <c r="C341" s="319"/>
      <c r="D341" s="320" t="s">
        <v>268</v>
      </c>
      <c r="E341" s="322"/>
      <c r="F341" s="279">
        <v>4000000</v>
      </c>
      <c r="G341" s="273">
        <f t="shared" si="58"/>
        <v>4000000</v>
      </c>
      <c r="H341" s="281"/>
      <c r="I341" s="280">
        <f t="shared" si="53"/>
        <v>0</v>
      </c>
      <c r="J341" s="280">
        <f t="shared" si="53"/>
        <v>0</v>
      </c>
    </row>
    <row r="342" spans="1:10">
      <c r="A342" s="286"/>
      <c r="B342" s="319"/>
      <c r="C342" s="319"/>
      <c r="D342" s="320" t="s">
        <v>288</v>
      </c>
      <c r="E342" s="322">
        <f>15000000</f>
        <v>15000000</v>
      </c>
      <c r="F342" s="279">
        <v>-10000000</v>
      </c>
      <c r="G342" s="273">
        <f t="shared" si="58"/>
        <v>5000000</v>
      </c>
      <c r="H342" s="281"/>
      <c r="I342" s="280">
        <f t="shared" si="53"/>
        <v>0</v>
      </c>
      <c r="J342" s="280">
        <f t="shared" si="53"/>
        <v>0</v>
      </c>
    </row>
    <row r="343" spans="1:10">
      <c r="A343" s="286"/>
      <c r="B343" s="319"/>
      <c r="C343" s="319"/>
      <c r="D343" s="320" t="s">
        <v>289</v>
      </c>
      <c r="E343" s="322">
        <f>500000</f>
        <v>500000</v>
      </c>
      <c r="F343" s="279">
        <v>-100000</v>
      </c>
      <c r="G343" s="273">
        <f t="shared" si="58"/>
        <v>400000</v>
      </c>
      <c r="H343" s="281"/>
      <c r="I343" s="280">
        <f t="shared" si="53"/>
        <v>0</v>
      </c>
      <c r="J343" s="280">
        <f t="shared" si="53"/>
        <v>0</v>
      </c>
    </row>
    <row r="344" spans="1:10">
      <c r="A344" s="286"/>
      <c r="B344" s="319" t="s">
        <v>290</v>
      </c>
      <c r="C344" s="319"/>
      <c r="D344" s="320" t="s">
        <v>228</v>
      </c>
      <c r="E344" s="322">
        <f>700000</f>
        <v>700000</v>
      </c>
      <c r="F344" s="279"/>
      <c r="G344" s="273">
        <f t="shared" si="58"/>
        <v>700000</v>
      </c>
      <c r="H344" s="281"/>
      <c r="I344" s="280">
        <f t="shared" si="53"/>
        <v>0</v>
      </c>
      <c r="J344" s="280">
        <f t="shared" si="53"/>
        <v>0</v>
      </c>
    </row>
    <row r="345" spans="1:10">
      <c r="A345" s="286"/>
      <c r="B345" s="319"/>
      <c r="C345" s="319"/>
      <c r="D345" s="320" t="s">
        <v>89</v>
      </c>
      <c r="E345" s="322">
        <f>0</f>
        <v>0</v>
      </c>
      <c r="F345" s="279"/>
      <c r="G345" s="273">
        <f t="shared" si="58"/>
        <v>0</v>
      </c>
      <c r="H345" s="281"/>
      <c r="I345" s="280">
        <f t="shared" si="53"/>
        <v>0</v>
      </c>
      <c r="J345" s="280">
        <f t="shared" si="53"/>
        <v>0</v>
      </c>
    </row>
    <row r="346" spans="1:10">
      <c r="A346" s="286"/>
      <c r="B346" s="319"/>
      <c r="C346" s="319"/>
      <c r="D346" s="320" t="s">
        <v>229</v>
      </c>
      <c r="E346" s="322">
        <f>300000</f>
        <v>300000</v>
      </c>
      <c r="F346" s="279"/>
      <c r="G346" s="273">
        <f t="shared" si="58"/>
        <v>300000</v>
      </c>
      <c r="H346" s="281"/>
      <c r="I346" s="280">
        <f t="shared" si="53"/>
        <v>0</v>
      </c>
      <c r="J346" s="280">
        <f t="shared" si="53"/>
        <v>0</v>
      </c>
    </row>
    <row r="347" spans="1:10">
      <c r="A347" s="286"/>
      <c r="B347" s="319"/>
      <c r="C347" s="319"/>
      <c r="D347" s="320" t="s">
        <v>100</v>
      </c>
      <c r="E347" s="322">
        <f>900000</f>
        <v>900000</v>
      </c>
      <c r="F347" s="279"/>
      <c r="G347" s="273">
        <f t="shared" si="58"/>
        <v>900000</v>
      </c>
      <c r="H347" s="281">
        <f>1500000</f>
        <v>1500000</v>
      </c>
      <c r="I347" s="280">
        <f t="shared" ref="I347:J410" si="59">H347*1.05</f>
        <v>1575000</v>
      </c>
      <c r="J347" s="280">
        <f t="shared" si="59"/>
        <v>1653750</v>
      </c>
    </row>
    <row r="348" spans="1:10">
      <c r="A348" s="286" t="s">
        <v>291</v>
      </c>
      <c r="B348" s="319" t="s">
        <v>292</v>
      </c>
      <c r="C348" s="319"/>
      <c r="D348" s="320" t="s">
        <v>205</v>
      </c>
      <c r="E348" s="322">
        <f>150000</f>
        <v>150000</v>
      </c>
      <c r="F348" s="279"/>
      <c r="G348" s="273">
        <f t="shared" si="58"/>
        <v>150000</v>
      </c>
      <c r="H348" s="281"/>
      <c r="I348" s="280">
        <f t="shared" si="59"/>
        <v>0</v>
      </c>
      <c r="J348" s="280">
        <f t="shared" si="59"/>
        <v>0</v>
      </c>
    </row>
    <row r="349" spans="1:10">
      <c r="A349" s="286"/>
      <c r="B349" s="319"/>
      <c r="C349" s="319"/>
      <c r="D349" s="320" t="s">
        <v>293</v>
      </c>
      <c r="E349" s="322">
        <f>500000</f>
        <v>500000</v>
      </c>
      <c r="F349" s="279"/>
      <c r="G349" s="273">
        <f t="shared" si="58"/>
        <v>500000</v>
      </c>
      <c r="H349" s="281"/>
      <c r="I349" s="280">
        <f t="shared" si="59"/>
        <v>0</v>
      </c>
      <c r="J349" s="280">
        <f t="shared" si="59"/>
        <v>0</v>
      </c>
    </row>
    <row r="350" spans="1:10">
      <c r="A350" s="286"/>
      <c r="B350" s="319"/>
      <c r="C350" s="319"/>
      <c r="D350" s="320" t="s">
        <v>294</v>
      </c>
      <c r="E350" s="322">
        <f>930000</f>
        <v>930000</v>
      </c>
      <c r="F350" s="279"/>
      <c r="G350" s="273">
        <f t="shared" si="58"/>
        <v>930000</v>
      </c>
      <c r="H350" s="281">
        <f>1000000</f>
        <v>1000000</v>
      </c>
      <c r="I350" s="280">
        <f t="shared" si="59"/>
        <v>1050000</v>
      </c>
      <c r="J350" s="280">
        <f t="shared" si="59"/>
        <v>1102500</v>
      </c>
    </row>
    <row r="351" spans="1:10">
      <c r="A351" s="286"/>
      <c r="B351" s="319"/>
      <c r="C351" s="319"/>
      <c r="D351" s="320" t="s">
        <v>181</v>
      </c>
      <c r="E351" s="322">
        <f>200000</f>
        <v>200000</v>
      </c>
      <c r="F351" s="279"/>
      <c r="G351" s="273">
        <f t="shared" si="58"/>
        <v>200000</v>
      </c>
      <c r="H351" s="281">
        <f>1500000</f>
        <v>1500000</v>
      </c>
      <c r="I351" s="280">
        <f t="shared" si="59"/>
        <v>1575000</v>
      </c>
      <c r="J351" s="280">
        <f t="shared" si="59"/>
        <v>1653750</v>
      </c>
    </row>
    <row r="352" spans="1:10">
      <c r="A352" s="286"/>
      <c r="B352" s="319"/>
      <c r="C352" s="319"/>
      <c r="D352" s="320" t="s">
        <v>97</v>
      </c>
      <c r="E352" s="322"/>
      <c r="F352" s="279"/>
      <c r="G352" s="273">
        <f t="shared" si="58"/>
        <v>0</v>
      </c>
      <c r="H352" s="281">
        <f>1000000</f>
        <v>1000000</v>
      </c>
      <c r="I352" s="280">
        <f t="shared" si="59"/>
        <v>1050000</v>
      </c>
      <c r="J352" s="280">
        <f t="shared" si="59"/>
        <v>1102500</v>
      </c>
    </row>
    <row r="353" spans="1:10">
      <c r="A353" s="286"/>
      <c r="B353" s="319"/>
      <c r="C353" s="319"/>
      <c r="D353" s="320" t="s">
        <v>205</v>
      </c>
      <c r="E353" s="322"/>
      <c r="F353" s="279"/>
      <c r="G353" s="273">
        <f t="shared" si="58"/>
        <v>0</v>
      </c>
      <c r="H353" s="281"/>
      <c r="I353" s="280">
        <f t="shared" si="59"/>
        <v>0</v>
      </c>
      <c r="J353" s="280">
        <f t="shared" si="59"/>
        <v>0</v>
      </c>
    </row>
    <row r="354" spans="1:10">
      <c r="A354" s="286"/>
      <c r="B354" s="319"/>
      <c r="C354" s="319"/>
      <c r="D354" s="320" t="s">
        <v>181</v>
      </c>
      <c r="E354" s="322"/>
      <c r="F354" s="279"/>
      <c r="G354" s="273">
        <f t="shared" si="58"/>
        <v>0</v>
      </c>
      <c r="H354" s="281"/>
      <c r="I354" s="280">
        <f t="shared" si="59"/>
        <v>0</v>
      </c>
      <c r="J354" s="280">
        <f t="shared" si="59"/>
        <v>0</v>
      </c>
    </row>
    <row r="355" spans="1:10">
      <c r="A355" s="286" t="s">
        <v>295</v>
      </c>
      <c r="B355" s="319" t="s">
        <v>296</v>
      </c>
      <c r="C355" s="319"/>
      <c r="D355" s="320" t="s">
        <v>297</v>
      </c>
      <c r="E355" s="322">
        <f>1000000</f>
        <v>1000000</v>
      </c>
      <c r="F355" s="279"/>
      <c r="G355" s="273">
        <f t="shared" si="58"/>
        <v>1000000</v>
      </c>
      <c r="H355" s="281"/>
      <c r="I355" s="280">
        <f t="shared" si="59"/>
        <v>0</v>
      </c>
      <c r="J355" s="280">
        <f t="shared" si="59"/>
        <v>0</v>
      </c>
    </row>
    <row r="356" ht="23.25" customHeight="1" spans="1:10">
      <c r="A356" s="286"/>
      <c r="B356" s="319"/>
      <c r="C356" s="319"/>
      <c r="D356" s="320" t="s">
        <v>168</v>
      </c>
      <c r="E356" s="322">
        <f>100000</f>
        <v>100000</v>
      </c>
      <c r="F356" s="279"/>
      <c r="G356" s="273">
        <f t="shared" si="58"/>
        <v>100000</v>
      </c>
      <c r="H356" s="281"/>
      <c r="I356" s="280">
        <f t="shared" si="59"/>
        <v>0</v>
      </c>
      <c r="J356" s="280">
        <f t="shared" si="59"/>
        <v>0</v>
      </c>
    </row>
    <row r="357" spans="1:10">
      <c r="A357" s="286"/>
      <c r="B357" s="319"/>
      <c r="C357" s="319"/>
      <c r="D357" s="320" t="s">
        <v>85</v>
      </c>
      <c r="E357" s="322">
        <f>400000</f>
        <v>400000</v>
      </c>
      <c r="F357" s="279"/>
      <c r="G357" s="273">
        <f t="shared" si="58"/>
        <v>400000</v>
      </c>
      <c r="H357" s="281"/>
      <c r="I357" s="280">
        <f t="shared" si="59"/>
        <v>0</v>
      </c>
      <c r="J357" s="280">
        <f t="shared" si="59"/>
        <v>0</v>
      </c>
    </row>
    <row r="358" spans="1:10">
      <c r="A358" s="286"/>
      <c r="B358" s="319"/>
      <c r="C358" s="319"/>
      <c r="D358" s="320" t="s">
        <v>93</v>
      </c>
      <c r="E358" s="322"/>
      <c r="F358" s="279"/>
      <c r="G358" s="273">
        <f t="shared" si="58"/>
        <v>0</v>
      </c>
      <c r="H358" s="281">
        <f>1000000</f>
        <v>1000000</v>
      </c>
      <c r="I358" s="280">
        <f t="shared" si="59"/>
        <v>1050000</v>
      </c>
      <c r="J358" s="280">
        <f t="shared" si="59"/>
        <v>1102500</v>
      </c>
    </row>
    <row r="359" spans="1:10">
      <c r="A359" s="286"/>
      <c r="B359" s="319"/>
      <c r="C359" s="319"/>
      <c r="D359" s="320" t="s">
        <v>298</v>
      </c>
      <c r="E359" s="322">
        <f>150000</f>
        <v>150000</v>
      </c>
      <c r="F359" s="279"/>
      <c r="G359" s="273">
        <f t="shared" si="58"/>
        <v>150000</v>
      </c>
      <c r="H359" s="281"/>
      <c r="I359" s="280">
        <f t="shared" si="59"/>
        <v>0</v>
      </c>
      <c r="J359" s="280">
        <f t="shared" si="59"/>
        <v>0</v>
      </c>
    </row>
    <row r="360" ht="23.25" customHeight="1" spans="1:10">
      <c r="A360" s="286"/>
      <c r="B360" s="319"/>
      <c r="C360" s="319"/>
      <c r="D360" s="320" t="s">
        <v>84</v>
      </c>
      <c r="E360" s="322">
        <f>500000</f>
        <v>500000</v>
      </c>
      <c r="F360" s="279"/>
      <c r="G360" s="273">
        <f t="shared" si="58"/>
        <v>500000</v>
      </c>
      <c r="H360" s="281">
        <f>1000000</f>
        <v>1000000</v>
      </c>
      <c r="I360" s="280">
        <f t="shared" si="59"/>
        <v>1050000</v>
      </c>
      <c r="J360" s="280">
        <f t="shared" si="59"/>
        <v>1102500</v>
      </c>
    </row>
    <row r="361" spans="1:10">
      <c r="A361" s="286"/>
      <c r="B361" s="319"/>
      <c r="C361" s="319"/>
      <c r="D361" s="320" t="s">
        <v>299</v>
      </c>
      <c r="E361" s="322"/>
      <c r="F361" s="279"/>
      <c r="G361" s="273"/>
      <c r="H361" s="281">
        <f>1000000</f>
        <v>1000000</v>
      </c>
      <c r="I361" s="280">
        <f t="shared" si="59"/>
        <v>1050000</v>
      </c>
      <c r="J361" s="280">
        <f t="shared" si="59"/>
        <v>1102500</v>
      </c>
    </row>
    <row r="362" spans="1:10">
      <c r="A362" s="286"/>
      <c r="B362" s="319"/>
      <c r="C362" s="319"/>
      <c r="D362" s="320" t="s">
        <v>100</v>
      </c>
      <c r="E362" s="322">
        <f>500000</f>
        <v>500000</v>
      </c>
      <c r="F362" s="279"/>
      <c r="G362" s="273">
        <f t="shared" si="58"/>
        <v>500000</v>
      </c>
      <c r="H362" s="281">
        <v>1000000</v>
      </c>
      <c r="I362" s="280">
        <f t="shared" si="59"/>
        <v>1050000</v>
      </c>
      <c r="J362" s="280">
        <f t="shared" si="59"/>
        <v>1102500</v>
      </c>
    </row>
    <row r="363" spans="1:10">
      <c r="A363" s="286"/>
      <c r="B363" s="319"/>
      <c r="C363" s="319"/>
      <c r="D363" s="320" t="s">
        <v>300</v>
      </c>
      <c r="E363" s="322">
        <f>700000</f>
        <v>700000</v>
      </c>
      <c r="F363" s="279"/>
      <c r="G363" s="273">
        <f t="shared" si="58"/>
        <v>700000</v>
      </c>
      <c r="H363" s="281"/>
      <c r="I363" s="280">
        <f t="shared" si="59"/>
        <v>0</v>
      </c>
      <c r="J363" s="280">
        <f t="shared" si="59"/>
        <v>0</v>
      </c>
    </row>
    <row r="364" spans="1:10">
      <c r="A364" s="286"/>
      <c r="B364" s="319"/>
      <c r="C364" s="319"/>
      <c r="D364" s="320" t="s">
        <v>107</v>
      </c>
      <c r="E364" s="322">
        <f>700000</f>
        <v>700000</v>
      </c>
      <c r="F364" s="279"/>
      <c r="G364" s="273">
        <f t="shared" si="58"/>
        <v>700000</v>
      </c>
      <c r="H364" s="281"/>
      <c r="I364" s="280">
        <f t="shared" si="59"/>
        <v>0</v>
      </c>
      <c r="J364" s="280">
        <f t="shared" si="59"/>
        <v>0</v>
      </c>
    </row>
    <row r="365" spans="1:10">
      <c r="A365" s="309" t="s">
        <v>162</v>
      </c>
      <c r="B365" s="309"/>
      <c r="C365" s="309"/>
      <c r="D365" s="345" t="s">
        <v>162</v>
      </c>
      <c r="E365" s="346">
        <f t="shared" ref="E365:H365" si="60">SUM(E303:E364)</f>
        <v>64930706</v>
      </c>
      <c r="F365" s="347">
        <f t="shared" si="60"/>
        <v>-900000</v>
      </c>
      <c r="G365" s="348">
        <f t="shared" si="60"/>
        <v>64030706</v>
      </c>
      <c r="H365" s="348">
        <f t="shared" si="60"/>
        <v>46750000</v>
      </c>
      <c r="I365" s="348">
        <f t="shared" ref="I365:J365" si="61">SUM(I303:I364)</f>
        <v>49087500</v>
      </c>
      <c r="J365" s="346">
        <f t="shared" si="61"/>
        <v>51541875</v>
      </c>
    </row>
    <row r="366" spans="1:10">
      <c r="A366" s="335"/>
      <c r="B366" s="336"/>
      <c r="C366" s="336"/>
      <c r="D366" s="336"/>
      <c r="E366" s="336"/>
      <c r="F366" s="279"/>
      <c r="G366" s="273">
        <f t="shared" ref="G366:G404" si="62">E366+F366</f>
        <v>0</v>
      </c>
      <c r="H366" s="281"/>
      <c r="I366" s="280"/>
      <c r="J366" s="280"/>
    </row>
    <row r="367" spans="1:10">
      <c r="A367" s="337" t="s">
        <v>301</v>
      </c>
      <c r="B367" s="338" t="s">
        <v>57</v>
      </c>
      <c r="C367" s="338"/>
      <c r="D367" s="338"/>
      <c r="E367" s="338"/>
      <c r="F367" s="338"/>
      <c r="G367" s="338"/>
      <c r="H367" s="338"/>
      <c r="I367" s="343"/>
      <c r="J367" s="343"/>
    </row>
    <row r="368" spans="1:10">
      <c r="A368" s="286" t="s">
        <v>302</v>
      </c>
      <c r="B368" s="319" t="s">
        <v>303</v>
      </c>
      <c r="C368" s="319"/>
      <c r="D368" s="270" t="s">
        <v>304</v>
      </c>
      <c r="E368" s="349">
        <v>316423424</v>
      </c>
      <c r="F368" s="279"/>
      <c r="G368" s="273">
        <f t="shared" si="62"/>
        <v>316423424</v>
      </c>
      <c r="H368" s="281">
        <v>341423424</v>
      </c>
      <c r="I368" s="280">
        <f t="shared" si="59"/>
        <v>358494595.2</v>
      </c>
      <c r="J368" s="280">
        <f>I368*1.05</f>
        <v>376419324.96</v>
      </c>
    </row>
    <row r="369" spans="1:10">
      <c r="A369" s="286"/>
      <c r="B369" s="319"/>
      <c r="C369" s="319"/>
      <c r="D369" s="270" t="s">
        <v>305</v>
      </c>
      <c r="E369" s="349"/>
      <c r="F369" s="279"/>
      <c r="G369" s="273">
        <f t="shared" si="62"/>
        <v>0</v>
      </c>
      <c r="H369" s="281"/>
      <c r="I369" s="280">
        <f t="shared" si="59"/>
        <v>0</v>
      </c>
      <c r="J369" s="280">
        <f t="shared" si="59"/>
        <v>0</v>
      </c>
    </row>
    <row r="370" spans="1:10">
      <c r="A370" s="286"/>
      <c r="B370" s="319"/>
      <c r="C370" s="319"/>
      <c r="D370" s="270" t="s">
        <v>306</v>
      </c>
      <c r="E370" s="349"/>
      <c r="F370" s="279"/>
      <c r="G370" s="273">
        <f t="shared" si="62"/>
        <v>0</v>
      </c>
      <c r="H370" s="281"/>
      <c r="I370" s="280">
        <f t="shared" si="59"/>
        <v>0</v>
      </c>
      <c r="J370" s="280">
        <f t="shared" si="59"/>
        <v>0</v>
      </c>
    </row>
    <row r="371" spans="1:10">
      <c r="A371" s="286"/>
      <c r="B371" s="319"/>
      <c r="C371" s="319"/>
      <c r="D371" s="270" t="s">
        <v>307</v>
      </c>
      <c r="E371" s="349"/>
      <c r="F371" s="279"/>
      <c r="G371" s="273">
        <f t="shared" si="62"/>
        <v>0</v>
      </c>
      <c r="H371" s="281"/>
      <c r="I371" s="280">
        <f t="shared" si="59"/>
        <v>0</v>
      </c>
      <c r="J371" s="280">
        <f t="shared" si="59"/>
        <v>0</v>
      </c>
    </row>
    <row r="372" spans="1:10">
      <c r="A372" s="286"/>
      <c r="B372" s="319"/>
      <c r="C372" s="319"/>
      <c r="D372" s="320" t="s">
        <v>85</v>
      </c>
      <c r="E372" s="322">
        <f>1000000</f>
        <v>1000000</v>
      </c>
      <c r="F372" s="279"/>
      <c r="G372" s="273">
        <f t="shared" si="62"/>
        <v>1000000</v>
      </c>
      <c r="H372" s="281">
        <v>1000000</v>
      </c>
      <c r="I372" s="280">
        <f t="shared" si="59"/>
        <v>1050000</v>
      </c>
      <c r="J372" s="280">
        <f t="shared" si="59"/>
        <v>1102500</v>
      </c>
    </row>
    <row r="373" spans="1:10">
      <c r="A373" s="286"/>
      <c r="B373" s="319"/>
      <c r="C373" s="319"/>
      <c r="D373" s="320" t="s">
        <v>87</v>
      </c>
      <c r="E373" s="322">
        <f>1000000</f>
        <v>1000000</v>
      </c>
      <c r="F373" s="279"/>
      <c r="G373" s="273">
        <f t="shared" si="62"/>
        <v>1000000</v>
      </c>
      <c r="H373" s="281">
        <v>1000000</v>
      </c>
      <c r="I373" s="280">
        <f t="shared" si="59"/>
        <v>1050000</v>
      </c>
      <c r="J373" s="280">
        <f t="shared" si="59"/>
        <v>1102500</v>
      </c>
    </row>
    <row r="374" spans="1:10">
      <c r="A374" s="286"/>
      <c r="B374" s="319"/>
      <c r="C374" s="319"/>
      <c r="D374" s="320" t="s">
        <v>138</v>
      </c>
      <c r="E374" s="322">
        <f>1000000</f>
        <v>1000000</v>
      </c>
      <c r="F374" s="279"/>
      <c r="G374" s="273">
        <f t="shared" si="62"/>
        <v>1000000</v>
      </c>
      <c r="H374" s="281">
        <v>1000000</v>
      </c>
      <c r="I374" s="280">
        <f t="shared" si="59"/>
        <v>1050000</v>
      </c>
      <c r="J374" s="280">
        <f t="shared" si="59"/>
        <v>1102500</v>
      </c>
    </row>
    <row r="375" ht="27.75" customHeight="1" spans="1:10">
      <c r="A375" s="286"/>
      <c r="B375" s="319"/>
      <c r="C375" s="319"/>
      <c r="D375" s="320" t="s">
        <v>216</v>
      </c>
      <c r="E375" s="322">
        <f>500000</f>
        <v>500000</v>
      </c>
      <c r="F375" s="279"/>
      <c r="G375" s="273">
        <f t="shared" si="62"/>
        <v>500000</v>
      </c>
      <c r="H375" s="281">
        <v>500000</v>
      </c>
      <c r="I375" s="280">
        <f t="shared" si="59"/>
        <v>525000</v>
      </c>
      <c r="J375" s="280">
        <f t="shared" si="59"/>
        <v>551250</v>
      </c>
    </row>
    <row r="376" spans="1:10">
      <c r="A376" s="286"/>
      <c r="B376" s="319"/>
      <c r="C376" s="319"/>
      <c r="D376" s="320" t="s">
        <v>308</v>
      </c>
      <c r="E376" s="322">
        <f>3000000</f>
        <v>3000000</v>
      </c>
      <c r="F376" s="279"/>
      <c r="G376" s="273">
        <f t="shared" si="62"/>
        <v>3000000</v>
      </c>
      <c r="H376" s="281">
        <v>3000000</v>
      </c>
      <c r="I376" s="280">
        <f t="shared" si="59"/>
        <v>3150000</v>
      </c>
      <c r="J376" s="280">
        <f t="shared" si="59"/>
        <v>3307500</v>
      </c>
    </row>
    <row r="377" spans="1:10">
      <c r="A377" s="286"/>
      <c r="B377" s="319"/>
      <c r="C377" s="319"/>
      <c r="D377" s="320" t="s">
        <v>309</v>
      </c>
      <c r="E377" s="322">
        <f>2000000</f>
        <v>2000000</v>
      </c>
      <c r="F377" s="279"/>
      <c r="G377" s="273">
        <f t="shared" si="62"/>
        <v>2000000</v>
      </c>
      <c r="H377" s="281">
        <v>2000000</v>
      </c>
      <c r="I377" s="280">
        <f t="shared" si="59"/>
        <v>2100000</v>
      </c>
      <c r="J377" s="280">
        <f t="shared" si="59"/>
        <v>2205000</v>
      </c>
    </row>
    <row r="378" spans="1:10">
      <c r="A378" s="286"/>
      <c r="B378" s="319"/>
      <c r="C378" s="319"/>
      <c r="D378" s="320" t="s">
        <v>294</v>
      </c>
      <c r="E378" s="322">
        <f>1300000</f>
        <v>1300000</v>
      </c>
      <c r="F378" s="279"/>
      <c r="G378" s="273">
        <f t="shared" si="62"/>
        <v>1300000</v>
      </c>
      <c r="H378" s="281">
        <v>1300000</v>
      </c>
      <c r="I378" s="280">
        <f t="shared" si="59"/>
        <v>1365000</v>
      </c>
      <c r="J378" s="280">
        <f t="shared" si="59"/>
        <v>1433250</v>
      </c>
    </row>
    <row r="379" spans="1:10">
      <c r="A379" s="286"/>
      <c r="B379" s="319"/>
      <c r="C379" s="319"/>
      <c r="D379" s="320" t="s">
        <v>171</v>
      </c>
      <c r="E379" s="322">
        <f>600000</f>
        <v>600000</v>
      </c>
      <c r="F379" s="279"/>
      <c r="G379" s="273">
        <f t="shared" si="62"/>
        <v>600000</v>
      </c>
      <c r="H379" s="350">
        <v>600000</v>
      </c>
      <c r="I379" s="280">
        <f t="shared" si="59"/>
        <v>630000</v>
      </c>
      <c r="J379" s="280">
        <f t="shared" si="59"/>
        <v>661500</v>
      </c>
    </row>
    <row r="380" spans="1:10">
      <c r="A380" s="286" t="s">
        <v>310</v>
      </c>
      <c r="B380" s="319" t="s">
        <v>311</v>
      </c>
      <c r="C380" s="319"/>
      <c r="D380" s="320" t="s">
        <v>312</v>
      </c>
      <c r="E380" s="322">
        <f>10000000</f>
        <v>10000000</v>
      </c>
      <c r="F380" s="279"/>
      <c r="G380" s="273">
        <f t="shared" si="62"/>
        <v>10000000</v>
      </c>
      <c r="H380" s="281"/>
      <c r="I380" s="280">
        <f t="shared" si="59"/>
        <v>0</v>
      </c>
      <c r="J380" s="280">
        <f t="shared" si="59"/>
        <v>0</v>
      </c>
    </row>
    <row r="381" spans="1:10">
      <c r="A381" s="286"/>
      <c r="B381" s="319"/>
      <c r="C381" s="319"/>
      <c r="D381" s="320" t="s">
        <v>313</v>
      </c>
      <c r="E381" s="322">
        <f>5000000</f>
        <v>5000000</v>
      </c>
      <c r="F381" s="279">
        <v>3000000</v>
      </c>
      <c r="G381" s="273">
        <f t="shared" si="62"/>
        <v>8000000</v>
      </c>
      <c r="H381" s="281">
        <v>2000000</v>
      </c>
      <c r="I381" s="280">
        <f t="shared" si="59"/>
        <v>2100000</v>
      </c>
      <c r="J381" s="280">
        <f t="shared" si="59"/>
        <v>2205000</v>
      </c>
    </row>
    <row r="382" spans="1:10">
      <c r="A382" s="286"/>
      <c r="B382" s="319"/>
      <c r="C382" s="319"/>
      <c r="D382" s="320" t="s">
        <v>138</v>
      </c>
      <c r="E382" s="322">
        <f>1000000</f>
        <v>1000000</v>
      </c>
      <c r="F382" s="279">
        <v>1000000</v>
      </c>
      <c r="G382" s="273">
        <f t="shared" si="62"/>
        <v>2000000</v>
      </c>
      <c r="H382" s="281">
        <v>1500000</v>
      </c>
      <c r="I382" s="280">
        <f t="shared" si="59"/>
        <v>1575000</v>
      </c>
      <c r="J382" s="280">
        <f t="shared" si="59"/>
        <v>1653750</v>
      </c>
    </row>
    <row r="383" spans="1:10">
      <c r="A383" s="286"/>
      <c r="B383" s="319"/>
      <c r="C383" s="319"/>
      <c r="D383" s="320" t="s">
        <v>314</v>
      </c>
      <c r="E383" s="322">
        <f>1000000</f>
        <v>1000000</v>
      </c>
      <c r="F383" s="279"/>
      <c r="G383" s="273">
        <f t="shared" si="62"/>
        <v>1000000</v>
      </c>
      <c r="H383" s="281">
        <v>1000000</v>
      </c>
      <c r="I383" s="280">
        <f t="shared" si="59"/>
        <v>1050000</v>
      </c>
      <c r="J383" s="280">
        <f t="shared" si="59"/>
        <v>1102500</v>
      </c>
    </row>
    <row r="384" spans="1:10">
      <c r="A384" s="286"/>
      <c r="B384" s="319"/>
      <c r="C384" s="319"/>
      <c r="D384" s="320" t="s">
        <v>315</v>
      </c>
      <c r="E384" s="322">
        <f>115000000</f>
        <v>115000000</v>
      </c>
      <c r="F384" s="279">
        <v>-5000000</v>
      </c>
      <c r="G384" s="273">
        <f t="shared" si="62"/>
        <v>110000000</v>
      </c>
      <c r="H384" s="281">
        <v>110000000</v>
      </c>
      <c r="I384" s="280">
        <f t="shared" si="59"/>
        <v>115500000</v>
      </c>
      <c r="J384" s="280">
        <f t="shared" si="59"/>
        <v>121275000</v>
      </c>
    </row>
    <row r="385" spans="1:10">
      <c r="A385" s="286"/>
      <c r="B385" s="319"/>
      <c r="C385" s="319"/>
      <c r="D385" s="320" t="s">
        <v>316</v>
      </c>
      <c r="E385" s="322"/>
      <c r="F385" s="279"/>
      <c r="G385" s="273"/>
      <c r="H385" s="281">
        <f>1000000</f>
        <v>1000000</v>
      </c>
      <c r="I385" s="280">
        <f t="shared" si="59"/>
        <v>1050000</v>
      </c>
      <c r="J385" s="280">
        <f t="shared" si="59"/>
        <v>1102500</v>
      </c>
    </row>
    <row r="386" spans="1:10">
      <c r="A386" s="286"/>
      <c r="B386" s="319"/>
      <c r="C386" s="319"/>
      <c r="D386" s="320" t="s">
        <v>85</v>
      </c>
      <c r="E386" s="322">
        <f>1000000</f>
        <v>1000000</v>
      </c>
      <c r="F386" s="279"/>
      <c r="G386" s="273">
        <f t="shared" si="62"/>
        <v>1000000</v>
      </c>
      <c r="H386" s="281">
        <v>1000000</v>
      </c>
      <c r="I386" s="280">
        <f t="shared" si="59"/>
        <v>1050000</v>
      </c>
      <c r="J386" s="280">
        <f t="shared" si="59"/>
        <v>1102500</v>
      </c>
    </row>
    <row r="387" spans="1:10">
      <c r="A387" s="286"/>
      <c r="B387" s="319"/>
      <c r="C387" s="319"/>
      <c r="D387" s="320" t="s">
        <v>317</v>
      </c>
      <c r="E387" s="322">
        <f>1000000</f>
        <v>1000000</v>
      </c>
      <c r="F387" s="279"/>
      <c r="G387" s="273">
        <f t="shared" si="62"/>
        <v>1000000</v>
      </c>
      <c r="H387" s="281">
        <v>1000000</v>
      </c>
      <c r="I387" s="280">
        <f t="shared" si="59"/>
        <v>1050000</v>
      </c>
      <c r="J387" s="280">
        <f t="shared" si="59"/>
        <v>1102500</v>
      </c>
    </row>
    <row r="388" spans="1:10">
      <c r="A388" s="286"/>
      <c r="B388" s="319"/>
      <c r="C388" s="319"/>
      <c r="D388" s="320" t="s">
        <v>318</v>
      </c>
      <c r="E388" s="322">
        <f>5000000</f>
        <v>5000000</v>
      </c>
      <c r="F388" s="279"/>
      <c r="G388" s="273">
        <f t="shared" si="62"/>
        <v>5000000</v>
      </c>
      <c r="H388" s="281">
        <v>5000000</v>
      </c>
      <c r="I388" s="280">
        <f t="shared" si="59"/>
        <v>5250000</v>
      </c>
      <c r="J388" s="280">
        <f t="shared" si="59"/>
        <v>5512500</v>
      </c>
    </row>
    <row r="389" spans="1:10">
      <c r="A389" s="286"/>
      <c r="B389" s="319" t="s">
        <v>319</v>
      </c>
      <c r="C389" s="319"/>
      <c r="D389" s="320" t="s">
        <v>87</v>
      </c>
      <c r="E389" s="322"/>
      <c r="F389" s="279"/>
      <c r="G389" s="273">
        <f t="shared" si="62"/>
        <v>0</v>
      </c>
      <c r="H389" s="281"/>
      <c r="I389" s="280">
        <f t="shared" si="59"/>
        <v>0</v>
      </c>
      <c r="J389" s="280">
        <f t="shared" si="59"/>
        <v>0</v>
      </c>
    </row>
    <row r="390" spans="1:10">
      <c r="A390" s="286"/>
      <c r="B390" s="319"/>
      <c r="C390" s="319"/>
      <c r="D390" s="320" t="s">
        <v>320</v>
      </c>
      <c r="E390" s="322">
        <f>215000000+20000000</f>
        <v>235000000</v>
      </c>
      <c r="F390" s="279">
        <v>40000000</v>
      </c>
      <c r="G390" s="273">
        <f t="shared" si="62"/>
        <v>275000000</v>
      </c>
      <c r="H390" s="281">
        <v>230000000</v>
      </c>
      <c r="I390" s="280">
        <f t="shared" si="59"/>
        <v>241500000</v>
      </c>
      <c r="J390" s="280">
        <f t="shared" si="59"/>
        <v>253575000</v>
      </c>
    </row>
    <row r="391" spans="1:10">
      <c r="A391" s="286"/>
      <c r="B391" s="319"/>
      <c r="C391" s="319"/>
      <c r="D391" s="320" t="s">
        <v>321</v>
      </c>
      <c r="E391" s="322"/>
      <c r="F391" s="279"/>
      <c r="G391" s="273">
        <f t="shared" si="62"/>
        <v>0</v>
      </c>
      <c r="H391" s="281"/>
      <c r="I391" s="280">
        <f t="shared" si="59"/>
        <v>0</v>
      </c>
      <c r="J391" s="280">
        <f t="shared" si="59"/>
        <v>0</v>
      </c>
    </row>
    <row r="392" spans="1:10">
      <c r="A392" s="286"/>
      <c r="B392" s="319"/>
      <c r="C392" s="319"/>
      <c r="D392" s="320" t="s">
        <v>309</v>
      </c>
      <c r="E392" s="322"/>
      <c r="F392" s="279"/>
      <c r="G392" s="273">
        <f t="shared" si="62"/>
        <v>0</v>
      </c>
      <c r="H392" s="281"/>
      <c r="I392" s="280">
        <f t="shared" si="59"/>
        <v>0</v>
      </c>
      <c r="J392" s="280">
        <f t="shared" si="59"/>
        <v>0</v>
      </c>
    </row>
    <row r="393" spans="1:10">
      <c r="A393" s="286"/>
      <c r="B393" s="319"/>
      <c r="C393" s="319"/>
      <c r="D393" s="320" t="s">
        <v>322</v>
      </c>
      <c r="E393" s="322">
        <f>5000000</f>
        <v>5000000</v>
      </c>
      <c r="F393" s="279">
        <v>-5000000</v>
      </c>
      <c r="G393" s="273">
        <f t="shared" si="62"/>
        <v>0</v>
      </c>
      <c r="H393" s="281"/>
      <c r="I393" s="280">
        <f t="shared" si="59"/>
        <v>0</v>
      </c>
      <c r="J393" s="280">
        <f t="shared" si="59"/>
        <v>0</v>
      </c>
    </row>
    <row r="394" spans="1:10">
      <c r="A394" s="286"/>
      <c r="B394" s="319"/>
      <c r="C394" s="319"/>
      <c r="D394" s="320" t="s">
        <v>323</v>
      </c>
      <c r="E394" s="322">
        <f>4000000</f>
        <v>4000000</v>
      </c>
      <c r="F394" s="279">
        <v>0</v>
      </c>
      <c r="G394" s="273">
        <f t="shared" si="62"/>
        <v>4000000</v>
      </c>
      <c r="H394" s="281">
        <v>5000000</v>
      </c>
      <c r="I394" s="280">
        <f t="shared" si="59"/>
        <v>5250000</v>
      </c>
      <c r="J394" s="280">
        <f t="shared" si="59"/>
        <v>5512500</v>
      </c>
    </row>
    <row r="395" spans="1:10">
      <c r="A395" s="286" t="s">
        <v>324</v>
      </c>
      <c r="B395" s="319" t="s">
        <v>325</v>
      </c>
      <c r="C395" s="319"/>
      <c r="D395" s="320" t="s">
        <v>138</v>
      </c>
      <c r="E395" s="351">
        <f>1000000</f>
        <v>1000000</v>
      </c>
      <c r="F395" s="279"/>
      <c r="G395" s="273">
        <f t="shared" si="62"/>
        <v>1000000</v>
      </c>
      <c r="H395" s="281">
        <v>1000000</v>
      </c>
      <c r="I395" s="280">
        <f t="shared" si="59"/>
        <v>1050000</v>
      </c>
      <c r="J395" s="280">
        <f t="shared" si="59"/>
        <v>1102500</v>
      </c>
    </row>
    <row r="396" spans="1:10">
      <c r="A396" s="286"/>
      <c r="B396" s="319"/>
      <c r="C396" s="319"/>
      <c r="D396" s="320" t="s">
        <v>326</v>
      </c>
      <c r="E396" s="351">
        <f>1000000</f>
        <v>1000000</v>
      </c>
      <c r="F396" s="279">
        <v>3000000</v>
      </c>
      <c r="G396" s="273">
        <f t="shared" si="62"/>
        <v>4000000</v>
      </c>
      <c r="H396" s="281">
        <v>1000000</v>
      </c>
      <c r="I396" s="280">
        <f t="shared" si="59"/>
        <v>1050000</v>
      </c>
      <c r="J396" s="280">
        <f t="shared" si="59"/>
        <v>1102500</v>
      </c>
    </row>
    <row r="397" spans="1:10">
      <c r="A397" s="286"/>
      <c r="B397" s="319"/>
      <c r="C397" s="319"/>
      <c r="D397" s="320" t="s">
        <v>317</v>
      </c>
      <c r="E397" s="351">
        <f>1000000</f>
        <v>1000000</v>
      </c>
      <c r="F397" s="279">
        <v>1000000</v>
      </c>
      <c r="G397" s="273">
        <f t="shared" si="62"/>
        <v>2000000</v>
      </c>
      <c r="H397" s="281"/>
      <c r="I397" s="280">
        <f t="shared" si="59"/>
        <v>0</v>
      </c>
      <c r="J397" s="280">
        <f t="shared" si="59"/>
        <v>0</v>
      </c>
    </row>
    <row r="398" spans="1:10">
      <c r="A398" s="286"/>
      <c r="B398" s="319"/>
      <c r="C398" s="319"/>
      <c r="D398" s="320" t="s">
        <v>314</v>
      </c>
      <c r="E398" s="351">
        <f>1500000</f>
        <v>1500000</v>
      </c>
      <c r="F398" s="279"/>
      <c r="G398" s="273">
        <f t="shared" si="62"/>
        <v>1500000</v>
      </c>
      <c r="H398" s="281">
        <v>1000000</v>
      </c>
      <c r="I398" s="280">
        <f t="shared" si="59"/>
        <v>1050000</v>
      </c>
      <c r="J398" s="280">
        <f t="shared" si="59"/>
        <v>1102500</v>
      </c>
    </row>
    <row r="399" spans="1:10">
      <c r="A399" s="286"/>
      <c r="B399" s="319"/>
      <c r="C399" s="319"/>
      <c r="D399" s="320" t="s">
        <v>316</v>
      </c>
      <c r="E399" s="351">
        <f>7000000</f>
        <v>7000000</v>
      </c>
      <c r="F399" s="279"/>
      <c r="G399" s="273">
        <f t="shared" si="62"/>
        <v>7000000</v>
      </c>
      <c r="H399" s="281"/>
      <c r="I399" s="280">
        <f t="shared" si="59"/>
        <v>0</v>
      </c>
      <c r="J399" s="280">
        <f t="shared" si="59"/>
        <v>0</v>
      </c>
    </row>
    <row r="400" spans="1:10">
      <c r="A400" s="286"/>
      <c r="B400" s="319"/>
      <c r="C400" s="319"/>
      <c r="D400" s="320" t="s">
        <v>85</v>
      </c>
      <c r="E400" s="351">
        <f>1000000</f>
        <v>1000000</v>
      </c>
      <c r="F400" s="279"/>
      <c r="G400" s="273">
        <f t="shared" si="62"/>
        <v>1000000</v>
      </c>
      <c r="H400" s="281">
        <v>1000000</v>
      </c>
      <c r="I400" s="280">
        <f t="shared" si="59"/>
        <v>1050000</v>
      </c>
      <c r="J400" s="280">
        <f t="shared" si="59"/>
        <v>1102500</v>
      </c>
    </row>
    <row r="401" spans="1:10">
      <c r="A401" s="286"/>
      <c r="B401" s="319"/>
      <c r="C401" s="319"/>
      <c r="D401" s="320" t="s">
        <v>327</v>
      </c>
      <c r="E401" s="351">
        <f>4000000</f>
        <v>4000000</v>
      </c>
      <c r="F401" s="279">
        <v>0</v>
      </c>
      <c r="G401" s="273">
        <f t="shared" si="62"/>
        <v>4000000</v>
      </c>
      <c r="H401" s="281">
        <v>2000000</v>
      </c>
      <c r="I401" s="280">
        <f t="shared" si="59"/>
        <v>2100000</v>
      </c>
      <c r="J401" s="280">
        <f t="shared" si="59"/>
        <v>2205000</v>
      </c>
    </row>
    <row r="402" spans="1:10">
      <c r="A402" s="286"/>
      <c r="B402" s="319" t="s">
        <v>328</v>
      </c>
      <c r="C402" s="319"/>
      <c r="D402" s="321" t="s">
        <v>329</v>
      </c>
      <c r="E402" s="351"/>
      <c r="F402" s="279"/>
      <c r="G402" s="273">
        <f t="shared" si="62"/>
        <v>0</v>
      </c>
      <c r="H402" s="281"/>
      <c r="I402" s="280">
        <f t="shared" si="59"/>
        <v>0</v>
      </c>
      <c r="J402" s="280">
        <f t="shared" si="59"/>
        <v>0</v>
      </c>
    </row>
    <row r="403" spans="1:10">
      <c r="A403" s="286"/>
      <c r="B403" s="319"/>
      <c r="C403" s="319"/>
      <c r="D403" s="321" t="s">
        <v>330</v>
      </c>
      <c r="E403" s="351"/>
      <c r="F403" s="279"/>
      <c r="G403" s="273">
        <f t="shared" si="62"/>
        <v>0</v>
      </c>
      <c r="H403" s="281"/>
      <c r="I403" s="280">
        <f t="shared" si="59"/>
        <v>0</v>
      </c>
      <c r="J403" s="280">
        <f t="shared" si="59"/>
        <v>0</v>
      </c>
    </row>
    <row r="404" spans="1:10">
      <c r="A404" s="286"/>
      <c r="B404" s="319"/>
      <c r="C404" s="319"/>
      <c r="D404" s="321" t="s">
        <v>331</v>
      </c>
      <c r="E404" s="351"/>
      <c r="F404" s="279"/>
      <c r="G404" s="273">
        <f t="shared" si="62"/>
        <v>0</v>
      </c>
      <c r="H404" s="281"/>
      <c r="I404" s="280">
        <f t="shared" si="59"/>
        <v>0</v>
      </c>
      <c r="J404" s="280">
        <f t="shared" si="59"/>
        <v>0</v>
      </c>
    </row>
    <row r="405" spans="1:10">
      <c r="A405" s="309"/>
      <c r="B405" s="309"/>
      <c r="C405" s="309"/>
      <c r="D405" s="309" t="s">
        <v>162</v>
      </c>
      <c r="E405" s="310">
        <f t="shared" ref="E405" si="63">SUM(E368:E404)</f>
        <v>726323424</v>
      </c>
      <c r="F405" s="311">
        <f t="shared" ref="F405:H405" si="64">SUM(F368:F404)</f>
        <v>38000000</v>
      </c>
      <c r="G405" s="333">
        <f t="shared" si="64"/>
        <v>764323424</v>
      </c>
      <c r="H405" s="312">
        <f t="shared" si="64"/>
        <v>715323424</v>
      </c>
      <c r="I405" s="312">
        <f t="shared" ref="I405:J405" si="65">SUM(I368:I404)</f>
        <v>751089595.2</v>
      </c>
      <c r="J405" s="323">
        <f t="shared" si="65"/>
        <v>788644074.96</v>
      </c>
    </row>
    <row r="406" spans="1:10">
      <c r="A406" s="335"/>
      <c r="B406" s="336"/>
      <c r="C406" s="336"/>
      <c r="D406" s="336"/>
      <c r="E406" s="336"/>
      <c r="F406" s="279"/>
      <c r="G406" s="280"/>
      <c r="H406" s="281"/>
      <c r="I406" s="280"/>
      <c r="J406" s="280"/>
    </row>
    <row r="407" spans="1:10">
      <c r="A407" s="337" t="s">
        <v>332</v>
      </c>
      <c r="B407" s="317" t="s">
        <v>59</v>
      </c>
      <c r="C407" s="317"/>
      <c r="D407" s="317"/>
      <c r="E407" s="317"/>
      <c r="F407" s="317"/>
      <c r="G407" s="317"/>
      <c r="H407" s="318"/>
      <c r="I407" s="324"/>
      <c r="J407" s="324"/>
    </row>
    <row r="408" spans="1:12">
      <c r="A408" s="286"/>
      <c r="B408" s="319" t="s">
        <v>333</v>
      </c>
      <c r="C408" s="319"/>
      <c r="D408" s="320" t="s">
        <v>166</v>
      </c>
      <c r="E408" s="322">
        <v>2218051645</v>
      </c>
      <c r="F408" s="279"/>
      <c r="G408" s="273">
        <f t="shared" ref="G408:G441" si="66">E408+F408</f>
        <v>2218051645</v>
      </c>
      <c r="H408" s="281">
        <v>2318954227</v>
      </c>
      <c r="I408" s="280">
        <f t="shared" si="59"/>
        <v>2434901938.35</v>
      </c>
      <c r="J408" s="280">
        <f>I408*1.05</f>
        <v>2556647035.2675</v>
      </c>
      <c r="K408" s="304">
        <v>2318954227</v>
      </c>
      <c r="L408" s="305">
        <f>H408-K408</f>
        <v>0</v>
      </c>
    </row>
    <row r="409" spans="1:12">
      <c r="A409" s="286"/>
      <c r="B409" s="319"/>
      <c r="C409" s="319"/>
      <c r="D409" s="320" t="s">
        <v>334</v>
      </c>
      <c r="E409" s="322">
        <v>52000000</v>
      </c>
      <c r="F409" s="279"/>
      <c r="G409" s="273">
        <f t="shared" si="66"/>
        <v>52000000</v>
      </c>
      <c r="H409" s="281">
        <v>60000000</v>
      </c>
      <c r="I409" s="280">
        <f t="shared" si="59"/>
        <v>63000000</v>
      </c>
      <c r="J409" s="280">
        <f t="shared" si="59"/>
        <v>66150000</v>
      </c>
      <c r="K409" s="304">
        <v>60000000</v>
      </c>
      <c r="L409" s="305">
        <f t="shared" ref="L409:L453" si="67">H409-K409</f>
        <v>0</v>
      </c>
    </row>
    <row r="410" spans="1:12">
      <c r="A410" s="286"/>
      <c r="B410" s="319"/>
      <c r="C410" s="319"/>
      <c r="D410" s="320" t="s">
        <v>335</v>
      </c>
      <c r="E410" s="322">
        <v>46050000</v>
      </c>
      <c r="F410" s="279"/>
      <c r="G410" s="273">
        <f t="shared" si="66"/>
        <v>46050000</v>
      </c>
      <c r="H410" s="281">
        <v>46050000</v>
      </c>
      <c r="I410" s="280">
        <f t="shared" si="59"/>
        <v>48352500</v>
      </c>
      <c r="J410" s="280">
        <f t="shared" si="59"/>
        <v>50770125</v>
      </c>
      <c r="K410" s="304">
        <v>46050000</v>
      </c>
      <c r="L410" s="305">
        <f t="shared" si="67"/>
        <v>0</v>
      </c>
    </row>
    <row r="411" spans="1:12">
      <c r="A411" s="286"/>
      <c r="B411" s="319"/>
      <c r="C411" s="319"/>
      <c r="D411" s="320" t="s">
        <v>336</v>
      </c>
      <c r="E411" s="322"/>
      <c r="F411" s="279"/>
      <c r="G411" s="273">
        <f t="shared" si="66"/>
        <v>0</v>
      </c>
      <c r="H411" s="281">
        <v>56993611</v>
      </c>
      <c r="I411" s="280">
        <f t="shared" ref="I411:J467" si="68">H411*1.05</f>
        <v>59843291.55</v>
      </c>
      <c r="J411" s="280">
        <f t="shared" si="68"/>
        <v>62835456.1275</v>
      </c>
      <c r="K411" s="304"/>
      <c r="L411" s="305">
        <f t="shared" si="67"/>
        <v>56993611</v>
      </c>
    </row>
    <row r="412" spans="1:12">
      <c r="A412" s="286"/>
      <c r="B412" s="319"/>
      <c r="C412" s="319"/>
      <c r="D412" s="320" t="s">
        <v>337</v>
      </c>
      <c r="E412" s="322">
        <v>500000000</v>
      </c>
      <c r="F412" s="279">
        <v>-220000000</v>
      </c>
      <c r="G412" s="273">
        <f t="shared" si="66"/>
        <v>280000000</v>
      </c>
      <c r="H412" s="281"/>
      <c r="I412" s="280">
        <f t="shared" si="68"/>
        <v>0</v>
      </c>
      <c r="J412" s="280">
        <f t="shared" si="68"/>
        <v>0</v>
      </c>
      <c r="K412" s="304"/>
      <c r="L412" s="305">
        <f t="shared" si="67"/>
        <v>0</v>
      </c>
    </row>
    <row r="413" spans="1:12">
      <c r="A413" s="286"/>
      <c r="B413" s="319"/>
      <c r="C413" s="319"/>
      <c r="D413" s="320" t="s">
        <v>338</v>
      </c>
      <c r="E413" s="322">
        <v>20000000</v>
      </c>
      <c r="F413" s="279"/>
      <c r="G413" s="273">
        <f t="shared" si="66"/>
        <v>20000000</v>
      </c>
      <c r="H413" s="281">
        <f>10000000</f>
        <v>10000000</v>
      </c>
      <c r="I413" s="280">
        <f t="shared" si="68"/>
        <v>10500000</v>
      </c>
      <c r="J413" s="280">
        <f t="shared" si="68"/>
        <v>11025000</v>
      </c>
      <c r="K413" s="304">
        <v>10000000</v>
      </c>
      <c r="L413" s="305">
        <f t="shared" si="67"/>
        <v>0</v>
      </c>
    </row>
    <row r="414" spans="1:12">
      <c r="A414" s="286"/>
      <c r="B414" s="319"/>
      <c r="C414" s="319"/>
      <c r="D414" s="320" t="s">
        <v>167</v>
      </c>
      <c r="E414" s="322">
        <v>20000000</v>
      </c>
      <c r="F414" s="279">
        <v>0</v>
      </c>
      <c r="G414" s="273">
        <f t="shared" si="66"/>
        <v>20000000</v>
      </c>
      <c r="H414" s="281">
        <v>5000000</v>
      </c>
      <c r="I414" s="280">
        <f t="shared" si="68"/>
        <v>5250000</v>
      </c>
      <c r="J414" s="280">
        <f t="shared" si="68"/>
        <v>5512500</v>
      </c>
      <c r="K414" s="304">
        <v>5000000</v>
      </c>
      <c r="L414" s="305">
        <f t="shared" si="67"/>
        <v>0</v>
      </c>
    </row>
    <row r="415" spans="1:12">
      <c r="A415" s="286"/>
      <c r="B415" s="319"/>
      <c r="C415" s="319"/>
      <c r="D415" s="320" t="s">
        <v>220</v>
      </c>
      <c r="E415" s="322">
        <v>1000000</v>
      </c>
      <c r="F415" s="279"/>
      <c r="G415" s="273">
        <f t="shared" si="66"/>
        <v>1000000</v>
      </c>
      <c r="H415" s="281">
        <v>8000000</v>
      </c>
      <c r="I415" s="280">
        <f t="shared" si="68"/>
        <v>8400000</v>
      </c>
      <c r="J415" s="280">
        <f t="shared" si="68"/>
        <v>8820000</v>
      </c>
      <c r="K415" s="304">
        <v>8000000</v>
      </c>
      <c r="L415" s="305">
        <f t="shared" si="67"/>
        <v>0</v>
      </c>
    </row>
    <row r="416" spans="1:12">
      <c r="A416" s="286"/>
      <c r="B416" s="319"/>
      <c r="C416" s="319"/>
      <c r="D416" s="320" t="s">
        <v>85</v>
      </c>
      <c r="E416" s="322">
        <v>1000000</v>
      </c>
      <c r="F416" s="279">
        <v>2000000</v>
      </c>
      <c r="G416" s="273">
        <f t="shared" si="66"/>
        <v>3000000</v>
      </c>
      <c r="H416" s="281">
        <v>5000000</v>
      </c>
      <c r="I416" s="280">
        <f t="shared" si="68"/>
        <v>5250000</v>
      </c>
      <c r="J416" s="280">
        <f t="shared" si="68"/>
        <v>5512500</v>
      </c>
      <c r="K416" s="304">
        <v>5000000</v>
      </c>
      <c r="L416" s="305">
        <f t="shared" si="67"/>
        <v>0</v>
      </c>
    </row>
    <row r="417" spans="1:12">
      <c r="A417" s="286"/>
      <c r="B417" s="319"/>
      <c r="C417" s="319"/>
      <c r="D417" s="320" t="s">
        <v>268</v>
      </c>
      <c r="E417" s="322"/>
      <c r="F417" s="279"/>
      <c r="G417" s="273"/>
      <c r="H417" s="281">
        <v>1000000</v>
      </c>
      <c r="I417" s="280">
        <f t="shared" si="68"/>
        <v>1050000</v>
      </c>
      <c r="J417" s="280">
        <f t="shared" si="68"/>
        <v>1102500</v>
      </c>
      <c r="K417" s="304">
        <v>1000000</v>
      </c>
      <c r="L417" s="305">
        <f t="shared" si="67"/>
        <v>0</v>
      </c>
    </row>
    <row r="418" spans="1:12">
      <c r="A418" s="286"/>
      <c r="B418" s="319"/>
      <c r="C418" s="319"/>
      <c r="D418" s="320" t="s">
        <v>87</v>
      </c>
      <c r="E418" s="322"/>
      <c r="F418" s="279"/>
      <c r="G418" s="273">
        <f t="shared" si="66"/>
        <v>0</v>
      </c>
      <c r="H418" s="281">
        <v>1200000</v>
      </c>
      <c r="I418" s="280">
        <f t="shared" si="68"/>
        <v>1260000</v>
      </c>
      <c r="J418" s="280">
        <f t="shared" si="68"/>
        <v>1323000</v>
      </c>
      <c r="K418" s="304">
        <v>1200000</v>
      </c>
      <c r="L418" s="305">
        <f t="shared" si="67"/>
        <v>0</v>
      </c>
    </row>
    <row r="419" spans="1:12">
      <c r="A419" s="286"/>
      <c r="B419" s="319"/>
      <c r="C419" s="319"/>
      <c r="D419" s="320" t="s">
        <v>228</v>
      </c>
      <c r="E419" s="322"/>
      <c r="F419" s="279"/>
      <c r="G419" s="273">
        <f t="shared" si="66"/>
        <v>0</v>
      </c>
      <c r="H419" s="281">
        <v>500000</v>
      </c>
      <c r="I419" s="280">
        <f t="shared" si="68"/>
        <v>525000</v>
      </c>
      <c r="J419" s="280">
        <f t="shared" si="68"/>
        <v>551250</v>
      </c>
      <c r="K419" s="304">
        <v>500000</v>
      </c>
      <c r="L419" s="305">
        <f t="shared" si="67"/>
        <v>0</v>
      </c>
    </row>
    <row r="420" spans="1:12">
      <c r="A420" s="286"/>
      <c r="B420" s="319"/>
      <c r="C420" s="319"/>
      <c r="D420" s="320" t="s">
        <v>269</v>
      </c>
      <c r="E420" s="322"/>
      <c r="F420" s="279"/>
      <c r="G420" s="273">
        <f t="shared" si="66"/>
        <v>0</v>
      </c>
      <c r="H420" s="281"/>
      <c r="I420" s="280">
        <f t="shared" si="68"/>
        <v>0</v>
      </c>
      <c r="J420" s="280">
        <f t="shared" si="68"/>
        <v>0</v>
      </c>
      <c r="K420" s="304"/>
      <c r="L420" s="305">
        <f t="shared" si="67"/>
        <v>0</v>
      </c>
    </row>
    <row r="421" spans="1:12">
      <c r="A421" s="286"/>
      <c r="B421" s="319"/>
      <c r="C421" s="319"/>
      <c r="D421" s="320" t="s">
        <v>89</v>
      </c>
      <c r="E421" s="322"/>
      <c r="F421" s="279"/>
      <c r="G421" s="273">
        <f t="shared" si="66"/>
        <v>0</v>
      </c>
      <c r="H421" s="281">
        <v>2000000</v>
      </c>
      <c r="I421" s="280">
        <f t="shared" si="68"/>
        <v>2100000</v>
      </c>
      <c r="J421" s="280">
        <f t="shared" si="68"/>
        <v>2205000</v>
      </c>
      <c r="K421" s="304">
        <v>2000000</v>
      </c>
      <c r="L421" s="305">
        <f t="shared" si="67"/>
        <v>0</v>
      </c>
    </row>
    <row r="422" spans="1:12">
      <c r="A422" s="286"/>
      <c r="B422" s="319"/>
      <c r="C422" s="319"/>
      <c r="D422" s="320" t="s">
        <v>93</v>
      </c>
      <c r="E422" s="322"/>
      <c r="F422" s="279"/>
      <c r="G422" s="273">
        <f t="shared" si="66"/>
        <v>0</v>
      </c>
      <c r="H422" s="281">
        <v>1000000</v>
      </c>
      <c r="I422" s="280">
        <f t="shared" si="68"/>
        <v>1050000</v>
      </c>
      <c r="J422" s="280">
        <f t="shared" si="68"/>
        <v>1102500</v>
      </c>
      <c r="K422" s="304">
        <v>1000000</v>
      </c>
      <c r="L422" s="305">
        <f t="shared" si="67"/>
        <v>0</v>
      </c>
    </row>
    <row r="423" spans="1:12">
      <c r="A423" s="286"/>
      <c r="B423" s="319"/>
      <c r="C423" s="319"/>
      <c r="D423" s="320" t="s">
        <v>339</v>
      </c>
      <c r="E423" s="322"/>
      <c r="F423" s="279"/>
      <c r="G423" s="273"/>
      <c r="H423" s="281">
        <f>27000000</f>
        <v>27000000</v>
      </c>
      <c r="I423" s="280">
        <f t="shared" si="68"/>
        <v>28350000</v>
      </c>
      <c r="J423" s="280">
        <f t="shared" si="68"/>
        <v>29767500</v>
      </c>
      <c r="K423" s="304">
        <v>27000000</v>
      </c>
      <c r="L423" s="305">
        <f t="shared" si="67"/>
        <v>0</v>
      </c>
    </row>
    <row r="424" spans="1:12">
      <c r="A424" s="286"/>
      <c r="B424" s="319"/>
      <c r="C424" s="319"/>
      <c r="D424" s="320" t="s">
        <v>340</v>
      </c>
      <c r="E424" s="322"/>
      <c r="F424" s="279"/>
      <c r="G424" s="273">
        <f t="shared" si="66"/>
        <v>0</v>
      </c>
      <c r="H424" s="281">
        <v>40000000</v>
      </c>
      <c r="I424" s="280">
        <f t="shared" si="68"/>
        <v>42000000</v>
      </c>
      <c r="J424" s="280">
        <f t="shared" si="68"/>
        <v>44100000</v>
      </c>
      <c r="K424" s="304">
        <v>40000000</v>
      </c>
      <c r="L424" s="305">
        <f t="shared" si="67"/>
        <v>0</v>
      </c>
    </row>
    <row r="425" ht="30" customHeight="1" spans="1:12">
      <c r="A425" s="286"/>
      <c r="B425" s="319"/>
      <c r="C425" s="319"/>
      <c r="D425" s="320" t="s">
        <v>341</v>
      </c>
      <c r="E425" s="322"/>
      <c r="F425" s="279"/>
      <c r="G425" s="273">
        <f t="shared" si="66"/>
        <v>0</v>
      </c>
      <c r="H425" s="281"/>
      <c r="I425" s="280">
        <f t="shared" si="68"/>
        <v>0</v>
      </c>
      <c r="J425" s="280">
        <f t="shared" si="68"/>
        <v>0</v>
      </c>
      <c r="K425" s="304"/>
      <c r="L425" s="305">
        <f t="shared" si="67"/>
        <v>0</v>
      </c>
    </row>
    <row r="426" spans="1:12">
      <c r="A426" s="286"/>
      <c r="B426" s="319"/>
      <c r="C426" s="319"/>
      <c r="D426" s="320" t="s">
        <v>171</v>
      </c>
      <c r="E426" s="322"/>
      <c r="F426" s="279"/>
      <c r="G426" s="273">
        <f t="shared" si="66"/>
        <v>0</v>
      </c>
      <c r="H426" s="281">
        <v>1000000</v>
      </c>
      <c r="I426" s="280">
        <f t="shared" si="68"/>
        <v>1050000</v>
      </c>
      <c r="J426" s="280">
        <f t="shared" si="68"/>
        <v>1102500</v>
      </c>
      <c r="K426" s="304">
        <v>1000000</v>
      </c>
      <c r="L426" s="305">
        <f t="shared" si="67"/>
        <v>0</v>
      </c>
    </row>
    <row r="427" spans="1:12">
      <c r="A427" s="286"/>
      <c r="B427" s="319"/>
      <c r="C427" s="319"/>
      <c r="D427" s="320" t="s">
        <v>100</v>
      </c>
      <c r="E427" s="322">
        <v>1500000</v>
      </c>
      <c r="F427" s="279">
        <v>5000000</v>
      </c>
      <c r="G427" s="273">
        <f t="shared" si="66"/>
        <v>6500000</v>
      </c>
      <c r="H427" s="281">
        <v>8000000</v>
      </c>
      <c r="I427" s="280">
        <f t="shared" si="68"/>
        <v>8400000</v>
      </c>
      <c r="J427" s="280">
        <f t="shared" si="68"/>
        <v>8820000</v>
      </c>
      <c r="K427" s="304">
        <v>8000000</v>
      </c>
      <c r="L427" s="305">
        <f t="shared" si="67"/>
        <v>0</v>
      </c>
    </row>
    <row r="428" spans="1:12">
      <c r="A428" s="286"/>
      <c r="B428" s="319"/>
      <c r="C428" s="319"/>
      <c r="D428" s="320" t="s">
        <v>146</v>
      </c>
      <c r="E428" s="322">
        <v>1000000</v>
      </c>
      <c r="F428" s="279"/>
      <c r="G428" s="273">
        <f t="shared" si="66"/>
        <v>1000000</v>
      </c>
      <c r="H428" s="281">
        <v>4000000</v>
      </c>
      <c r="I428" s="280">
        <f t="shared" si="68"/>
        <v>4200000</v>
      </c>
      <c r="J428" s="280">
        <f t="shared" si="68"/>
        <v>4410000</v>
      </c>
      <c r="K428" s="304">
        <v>4000000</v>
      </c>
      <c r="L428" s="305">
        <f t="shared" si="67"/>
        <v>0</v>
      </c>
    </row>
    <row r="429" spans="1:12">
      <c r="A429" s="286"/>
      <c r="B429" s="319"/>
      <c r="C429" s="319"/>
      <c r="D429" s="320" t="s">
        <v>342</v>
      </c>
      <c r="E429" s="322"/>
      <c r="F429" s="279"/>
      <c r="G429" s="273"/>
      <c r="H429" s="281">
        <v>5000000</v>
      </c>
      <c r="I429" s="280">
        <f t="shared" si="68"/>
        <v>5250000</v>
      </c>
      <c r="J429" s="280">
        <f t="shared" si="68"/>
        <v>5512500</v>
      </c>
      <c r="K429" s="304">
        <v>5000000</v>
      </c>
      <c r="L429" s="305">
        <f t="shared" si="67"/>
        <v>0</v>
      </c>
    </row>
    <row r="430" spans="1:12">
      <c r="A430" s="286"/>
      <c r="B430" s="319"/>
      <c r="C430" s="319"/>
      <c r="D430" s="320" t="s">
        <v>343</v>
      </c>
      <c r="E430" s="322">
        <v>4000000</v>
      </c>
      <c r="F430" s="279">
        <v>-1000000</v>
      </c>
      <c r="G430" s="273">
        <f t="shared" si="66"/>
        <v>3000000</v>
      </c>
      <c r="H430" s="281"/>
      <c r="I430" s="280">
        <f t="shared" si="68"/>
        <v>0</v>
      </c>
      <c r="J430" s="280">
        <f t="shared" si="68"/>
        <v>0</v>
      </c>
      <c r="K430" s="304"/>
      <c r="L430" s="305">
        <f t="shared" si="67"/>
        <v>0</v>
      </c>
    </row>
    <row r="431" spans="1:12">
      <c r="A431" s="286"/>
      <c r="B431" s="319"/>
      <c r="C431" s="319"/>
      <c r="D431" s="320" t="s">
        <v>344</v>
      </c>
      <c r="E431" s="322"/>
      <c r="F431" s="279"/>
      <c r="G431" s="273">
        <f t="shared" si="66"/>
        <v>0</v>
      </c>
      <c r="H431" s="281"/>
      <c r="I431" s="280">
        <f t="shared" si="68"/>
        <v>0</v>
      </c>
      <c r="J431" s="280">
        <f t="shared" si="68"/>
        <v>0</v>
      </c>
      <c r="K431" s="304"/>
      <c r="L431" s="305">
        <f t="shared" si="67"/>
        <v>0</v>
      </c>
    </row>
    <row r="432" spans="1:12">
      <c r="A432" s="286"/>
      <c r="B432" s="319"/>
      <c r="C432" s="319"/>
      <c r="D432" s="320" t="s">
        <v>345</v>
      </c>
      <c r="E432" s="322"/>
      <c r="F432" s="279"/>
      <c r="G432" s="273">
        <f t="shared" si="66"/>
        <v>0</v>
      </c>
      <c r="H432" s="281">
        <v>3000000</v>
      </c>
      <c r="I432" s="280">
        <f t="shared" si="68"/>
        <v>3150000</v>
      </c>
      <c r="J432" s="280">
        <f t="shared" si="68"/>
        <v>3307500</v>
      </c>
      <c r="K432" s="304">
        <v>3000000</v>
      </c>
      <c r="L432" s="305">
        <f t="shared" si="67"/>
        <v>0</v>
      </c>
    </row>
    <row r="433" spans="1:12">
      <c r="A433" s="286"/>
      <c r="B433" s="319"/>
      <c r="C433" s="319"/>
      <c r="D433" s="320" t="s">
        <v>346</v>
      </c>
      <c r="E433" s="322">
        <v>9701250</v>
      </c>
      <c r="F433" s="279"/>
      <c r="G433" s="273">
        <f t="shared" si="66"/>
        <v>9701250</v>
      </c>
      <c r="H433" s="281">
        <v>9701250</v>
      </c>
      <c r="I433" s="280">
        <f t="shared" si="68"/>
        <v>10186312.5</v>
      </c>
      <c r="J433" s="280">
        <f t="shared" si="68"/>
        <v>10695628.125</v>
      </c>
      <c r="K433" s="304">
        <v>9701250</v>
      </c>
      <c r="L433" s="305">
        <f t="shared" si="67"/>
        <v>0</v>
      </c>
    </row>
    <row r="434" spans="1:12">
      <c r="A434" s="286"/>
      <c r="B434" s="319"/>
      <c r="C434" s="319"/>
      <c r="D434" s="320" t="s">
        <v>347</v>
      </c>
      <c r="E434" s="322"/>
      <c r="F434" s="279"/>
      <c r="G434" s="273">
        <f t="shared" si="66"/>
        <v>0</v>
      </c>
      <c r="H434" s="281"/>
      <c r="I434" s="280">
        <f t="shared" si="68"/>
        <v>0</v>
      </c>
      <c r="J434" s="280">
        <f t="shared" si="68"/>
        <v>0</v>
      </c>
      <c r="K434" s="304"/>
      <c r="L434" s="305">
        <f t="shared" si="67"/>
        <v>0</v>
      </c>
    </row>
    <row r="435" spans="1:12">
      <c r="A435" s="286"/>
      <c r="B435" s="319"/>
      <c r="C435" s="319"/>
      <c r="D435" s="320" t="s">
        <v>348</v>
      </c>
      <c r="E435" s="322">
        <v>10746000</v>
      </c>
      <c r="F435" s="279"/>
      <c r="G435" s="273">
        <f t="shared" si="66"/>
        <v>10746000</v>
      </c>
      <c r="H435" s="281">
        <v>10746000</v>
      </c>
      <c r="I435" s="280">
        <f t="shared" si="68"/>
        <v>11283300</v>
      </c>
      <c r="J435" s="280">
        <f t="shared" si="68"/>
        <v>11847465</v>
      </c>
      <c r="K435" s="304">
        <v>10746000</v>
      </c>
      <c r="L435" s="305">
        <f t="shared" si="67"/>
        <v>0</v>
      </c>
    </row>
    <row r="436" spans="1:12">
      <c r="A436" s="286"/>
      <c r="B436" s="319"/>
      <c r="C436" s="319"/>
      <c r="D436" s="320" t="s">
        <v>349</v>
      </c>
      <c r="E436" s="322"/>
      <c r="F436" s="279"/>
      <c r="G436" s="273"/>
      <c r="H436" s="281"/>
      <c r="I436" s="280">
        <f t="shared" si="68"/>
        <v>0</v>
      </c>
      <c r="J436" s="280">
        <f t="shared" si="68"/>
        <v>0</v>
      </c>
      <c r="K436" s="304"/>
      <c r="L436" s="305">
        <f t="shared" si="67"/>
        <v>0</v>
      </c>
    </row>
    <row r="437" spans="1:12">
      <c r="A437" s="286"/>
      <c r="B437" s="319"/>
      <c r="C437" s="319"/>
      <c r="D437" s="320" t="s">
        <v>350</v>
      </c>
      <c r="E437" s="322"/>
      <c r="F437" s="279"/>
      <c r="G437" s="273">
        <f t="shared" si="66"/>
        <v>0</v>
      </c>
      <c r="H437" s="281"/>
      <c r="I437" s="280">
        <f t="shared" si="68"/>
        <v>0</v>
      </c>
      <c r="J437" s="280">
        <f t="shared" si="68"/>
        <v>0</v>
      </c>
      <c r="K437" s="304"/>
      <c r="L437" s="305">
        <f t="shared" si="67"/>
        <v>0</v>
      </c>
    </row>
    <row r="438" spans="1:12">
      <c r="A438" s="286"/>
      <c r="B438" s="319" t="s">
        <v>351</v>
      </c>
      <c r="C438" s="319"/>
      <c r="D438" s="320" t="s">
        <v>85</v>
      </c>
      <c r="E438" s="322">
        <v>1710000</v>
      </c>
      <c r="F438" s="279"/>
      <c r="G438" s="273">
        <f t="shared" si="66"/>
        <v>1710000</v>
      </c>
      <c r="H438" s="281"/>
      <c r="I438" s="280">
        <f t="shared" si="68"/>
        <v>0</v>
      </c>
      <c r="J438" s="280">
        <f t="shared" si="68"/>
        <v>0</v>
      </c>
      <c r="K438" s="304"/>
      <c r="L438" s="305">
        <f t="shared" si="67"/>
        <v>0</v>
      </c>
    </row>
    <row r="439" spans="1:12">
      <c r="A439" s="286"/>
      <c r="B439" s="319"/>
      <c r="C439" s="319"/>
      <c r="D439" s="320" t="s">
        <v>352</v>
      </c>
      <c r="E439" s="322"/>
      <c r="F439" s="279"/>
      <c r="G439" s="273">
        <f t="shared" si="66"/>
        <v>0</v>
      </c>
      <c r="H439" s="281"/>
      <c r="I439" s="280">
        <f t="shared" si="68"/>
        <v>0</v>
      </c>
      <c r="J439" s="280">
        <f t="shared" si="68"/>
        <v>0</v>
      </c>
      <c r="K439" s="304"/>
      <c r="L439" s="305">
        <f t="shared" si="67"/>
        <v>0</v>
      </c>
    </row>
    <row r="440" spans="1:12">
      <c r="A440" s="286"/>
      <c r="B440" s="319"/>
      <c r="C440" s="319"/>
      <c r="D440" s="320" t="s">
        <v>171</v>
      </c>
      <c r="E440" s="322"/>
      <c r="F440" s="279"/>
      <c r="G440" s="273">
        <f t="shared" si="66"/>
        <v>0</v>
      </c>
      <c r="H440" s="281"/>
      <c r="I440" s="280">
        <f t="shared" si="68"/>
        <v>0</v>
      </c>
      <c r="J440" s="280">
        <f t="shared" si="68"/>
        <v>0</v>
      </c>
      <c r="K440" s="304"/>
      <c r="L440" s="305">
        <f t="shared" si="67"/>
        <v>0</v>
      </c>
    </row>
    <row r="441" spans="1:12">
      <c r="A441" s="286"/>
      <c r="B441" s="319"/>
      <c r="C441" s="319"/>
      <c r="D441" s="320" t="s">
        <v>100</v>
      </c>
      <c r="E441" s="322"/>
      <c r="F441" s="279"/>
      <c r="G441" s="273">
        <f t="shared" si="66"/>
        <v>0</v>
      </c>
      <c r="H441" s="281">
        <f>4000000</f>
        <v>4000000</v>
      </c>
      <c r="I441" s="280">
        <f t="shared" si="68"/>
        <v>4200000</v>
      </c>
      <c r="J441" s="280">
        <f t="shared" si="68"/>
        <v>4410000</v>
      </c>
      <c r="K441" s="304">
        <v>4000000</v>
      </c>
      <c r="L441" s="305">
        <f t="shared" si="67"/>
        <v>0</v>
      </c>
    </row>
    <row r="442" spans="1:12">
      <c r="A442" s="286"/>
      <c r="B442" s="319" t="s">
        <v>353</v>
      </c>
      <c r="C442" s="319"/>
      <c r="D442" s="320" t="s">
        <v>167</v>
      </c>
      <c r="E442" s="322"/>
      <c r="F442" s="279"/>
      <c r="G442" s="273">
        <f t="shared" ref="G442:G452" si="69">E442+F442</f>
        <v>0</v>
      </c>
      <c r="H442" s="281">
        <v>6000000</v>
      </c>
      <c r="I442" s="280">
        <f t="shared" si="68"/>
        <v>6300000</v>
      </c>
      <c r="J442" s="280">
        <f t="shared" si="68"/>
        <v>6615000</v>
      </c>
      <c r="K442" s="304">
        <v>6000000</v>
      </c>
      <c r="L442" s="305">
        <f t="shared" si="67"/>
        <v>0</v>
      </c>
    </row>
    <row r="443" spans="1:12">
      <c r="A443" s="286"/>
      <c r="B443" s="319"/>
      <c r="C443" s="319"/>
      <c r="D443" s="320" t="s">
        <v>220</v>
      </c>
      <c r="E443" s="322"/>
      <c r="F443" s="279"/>
      <c r="G443" s="273">
        <f t="shared" si="69"/>
        <v>0</v>
      </c>
      <c r="H443" s="281"/>
      <c r="I443" s="280">
        <f t="shared" si="68"/>
        <v>0</v>
      </c>
      <c r="J443" s="280">
        <f t="shared" si="68"/>
        <v>0</v>
      </c>
      <c r="K443" s="304"/>
      <c r="L443" s="305">
        <f t="shared" si="67"/>
        <v>0</v>
      </c>
    </row>
    <row r="444" spans="1:12">
      <c r="A444" s="286"/>
      <c r="B444" s="319"/>
      <c r="C444" s="319"/>
      <c r="D444" s="320" t="s">
        <v>85</v>
      </c>
      <c r="E444" s="322"/>
      <c r="F444" s="279"/>
      <c r="G444" s="273">
        <f t="shared" si="69"/>
        <v>0</v>
      </c>
      <c r="H444" s="281">
        <v>1500000</v>
      </c>
      <c r="I444" s="280">
        <f t="shared" si="68"/>
        <v>1575000</v>
      </c>
      <c r="J444" s="280">
        <f t="shared" si="68"/>
        <v>1653750</v>
      </c>
      <c r="K444" s="304">
        <v>1500000</v>
      </c>
      <c r="L444" s="305">
        <f t="shared" si="67"/>
        <v>0</v>
      </c>
    </row>
    <row r="445" spans="1:12">
      <c r="A445" s="286"/>
      <c r="B445" s="319"/>
      <c r="C445" s="319"/>
      <c r="D445" s="320" t="s">
        <v>354</v>
      </c>
      <c r="E445" s="322"/>
      <c r="F445" s="279">
        <v>25000000</v>
      </c>
      <c r="G445" s="273">
        <f t="shared" si="69"/>
        <v>25000000</v>
      </c>
      <c r="H445" s="281"/>
      <c r="I445" s="280">
        <f t="shared" si="68"/>
        <v>0</v>
      </c>
      <c r="J445" s="280">
        <f t="shared" si="68"/>
        <v>0</v>
      </c>
      <c r="K445" s="304"/>
      <c r="L445" s="305">
        <f t="shared" si="67"/>
        <v>0</v>
      </c>
    </row>
    <row r="446" spans="1:12">
      <c r="A446" s="286"/>
      <c r="B446" s="319"/>
      <c r="C446" s="319"/>
      <c r="D446" s="320" t="s">
        <v>355</v>
      </c>
      <c r="E446" s="322">
        <f>190000000+10000000</f>
        <v>200000000</v>
      </c>
      <c r="F446" s="279"/>
      <c r="G446" s="273">
        <f t="shared" si="69"/>
        <v>200000000</v>
      </c>
      <c r="H446" s="281">
        <v>230000000</v>
      </c>
      <c r="I446" s="280">
        <f t="shared" si="68"/>
        <v>241500000</v>
      </c>
      <c r="J446" s="280">
        <f t="shared" si="68"/>
        <v>253575000</v>
      </c>
      <c r="K446" s="304">
        <v>230000000</v>
      </c>
      <c r="L446" s="305">
        <f t="shared" si="67"/>
        <v>0</v>
      </c>
    </row>
    <row r="447" spans="1:12">
      <c r="A447" s="286"/>
      <c r="B447" s="319"/>
      <c r="C447" s="319"/>
      <c r="D447" s="320" t="s">
        <v>356</v>
      </c>
      <c r="E447" s="322">
        <v>34800000</v>
      </c>
      <c r="F447" s="279">
        <v>235000000</v>
      </c>
      <c r="G447" s="273">
        <f t="shared" si="69"/>
        <v>269800000</v>
      </c>
      <c r="H447" s="281">
        <v>400000000</v>
      </c>
      <c r="I447" s="280">
        <f t="shared" si="68"/>
        <v>420000000</v>
      </c>
      <c r="J447" s="280">
        <f t="shared" si="68"/>
        <v>441000000</v>
      </c>
      <c r="K447" s="304">
        <v>400000000</v>
      </c>
      <c r="L447" s="305">
        <f t="shared" si="67"/>
        <v>0</v>
      </c>
    </row>
    <row r="448" ht="24.75" customHeight="1" spans="1:12">
      <c r="A448" s="286"/>
      <c r="B448" s="319"/>
      <c r="C448" s="319"/>
      <c r="D448" s="320" t="s">
        <v>357</v>
      </c>
      <c r="E448" s="322">
        <v>15000000</v>
      </c>
      <c r="F448" s="279">
        <v>54000000</v>
      </c>
      <c r="G448" s="273">
        <f t="shared" si="69"/>
        <v>69000000</v>
      </c>
      <c r="H448" s="281">
        <v>120000000</v>
      </c>
      <c r="I448" s="280">
        <f t="shared" si="68"/>
        <v>126000000</v>
      </c>
      <c r="J448" s="280">
        <f t="shared" si="68"/>
        <v>132300000</v>
      </c>
      <c r="K448" s="304">
        <v>120000000</v>
      </c>
      <c r="L448" s="305">
        <f t="shared" si="67"/>
        <v>0</v>
      </c>
    </row>
    <row r="449" ht="22.5" customHeight="1" spans="1:12">
      <c r="A449" s="286"/>
      <c r="B449" s="319"/>
      <c r="C449" s="319"/>
      <c r="D449" s="320" t="s">
        <v>358</v>
      </c>
      <c r="E449" s="322">
        <v>5000000</v>
      </c>
      <c r="F449" s="279">
        <v>35000000</v>
      </c>
      <c r="G449" s="273">
        <f t="shared" si="69"/>
        <v>40000000</v>
      </c>
      <c r="H449" s="281">
        <v>40000000</v>
      </c>
      <c r="I449" s="280">
        <f t="shared" si="68"/>
        <v>42000000</v>
      </c>
      <c r="J449" s="280">
        <f t="shared" si="68"/>
        <v>44100000</v>
      </c>
      <c r="K449" s="304">
        <v>40000000</v>
      </c>
      <c r="L449" s="305">
        <f t="shared" si="67"/>
        <v>0</v>
      </c>
    </row>
    <row r="450" ht="1.5" hidden="1" customHeight="1" spans="1:12">
      <c r="A450" s="286"/>
      <c r="B450" s="319"/>
      <c r="C450" s="319"/>
      <c r="D450" s="320" t="s">
        <v>359</v>
      </c>
      <c r="E450" s="322"/>
      <c r="F450" s="279"/>
      <c r="G450" s="273">
        <f t="shared" si="69"/>
        <v>0</v>
      </c>
      <c r="H450" s="281"/>
      <c r="I450" s="280">
        <f t="shared" si="68"/>
        <v>0</v>
      </c>
      <c r="J450" s="280">
        <f t="shared" si="68"/>
        <v>0</v>
      </c>
      <c r="K450" s="304"/>
      <c r="L450" s="305">
        <f t="shared" si="67"/>
        <v>0</v>
      </c>
    </row>
    <row r="451" ht="42" spans="1:12">
      <c r="A451" s="286"/>
      <c r="B451" s="319"/>
      <c r="C451" s="319"/>
      <c r="D451" s="320" t="s">
        <v>360</v>
      </c>
      <c r="E451" s="322"/>
      <c r="F451" s="279"/>
      <c r="G451" s="273">
        <f t="shared" si="69"/>
        <v>0</v>
      </c>
      <c r="H451" s="281"/>
      <c r="I451" s="280">
        <f t="shared" si="68"/>
        <v>0</v>
      </c>
      <c r="J451" s="280">
        <f t="shared" si="68"/>
        <v>0</v>
      </c>
      <c r="K451" s="304"/>
      <c r="L451" s="305">
        <f t="shared" si="67"/>
        <v>0</v>
      </c>
    </row>
    <row r="452" spans="1:12">
      <c r="A452" s="286"/>
      <c r="B452" s="319"/>
      <c r="C452" s="319"/>
      <c r="D452" s="320" t="s">
        <v>361</v>
      </c>
      <c r="E452" s="322"/>
      <c r="F452" s="279"/>
      <c r="G452" s="273">
        <f t="shared" si="69"/>
        <v>0</v>
      </c>
      <c r="H452" s="281">
        <v>1000000</v>
      </c>
      <c r="I452" s="280">
        <f t="shared" si="68"/>
        <v>1050000</v>
      </c>
      <c r="J452" s="280">
        <f t="shared" si="68"/>
        <v>1102500</v>
      </c>
      <c r="K452" s="304">
        <v>1000000</v>
      </c>
      <c r="L452" s="305">
        <f t="shared" si="67"/>
        <v>0</v>
      </c>
    </row>
    <row r="453" spans="1:12">
      <c r="A453" s="309"/>
      <c r="B453" s="352"/>
      <c r="C453" s="352"/>
      <c r="D453" s="309" t="s">
        <v>162</v>
      </c>
      <c r="E453" s="310">
        <f t="shared" ref="E453:J453" si="70">SUM(E408:E452)</f>
        <v>3141558895</v>
      </c>
      <c r="F453" s="311">
        <f t="shared" si="70"/>
        <v>135000000</v>
      </c>
      <c r="G453" s="312">
        <f t="shared" si="70"/>
        <v>3276558895</v>
      </c>
      <c r="H453" s="312">
        <f t="shared" si="70"/>
        <v>3426645088</v>
      </c>
      <c r="I453" s="312">
        <f t="shared" si="70"/>
        <v>3597977342.4</v>
      </c>
      <c r="J453" s="323">
        <f t="shared" si="70"/>
        <v>3777876209.52</v>
      </c>
      <c r="K453" s="304">
        <v>3369651477</v>
      </c>
      <c r="L453" s="305">
        <f t="shared" si="67"/>
        <v>56993611</v>
      </c>
    </row>
    <row r="454" spans="1:11">
      <c r="A454" s="314"/>
      <c r="B454" s="315"/>
      <c r="C454" s="315"/>
      <c r="D454" s="315"/>
      <c r="E454" s="315"/>
      <c r="F454" s="279"/>
      <c r="G454" s="280"/>
      <c r="H454" s="281"/>
      <c r="I454" s="280"/>
      <c r="J454" s="280"/>
      <c r="K454" s="305"/>
    </row>
    <row r="455" spans="1:10">
      <c r="A455" s="337"/>
      <c r="B455" s="317" t="s">
        <v>362</v>
      </c>
      <c r="C455" s="317"/>
      <c r="D455" s="317"/>
      <c r="E455" s="317"/>
      <c r="F455" s="353"/>
      <c r="G455" s="324"/>
      <c r="H455" s="354"/>
      <c r="I455" s="324"/>
      <c r="J455" s="324"/>
    </row>
    <row r="456" spans="1:12">
      <c r="A456" s="286" t="s">
        <v>302</v>
      </c>
      <c r="B456" s="319" t="s">
        <v>165</v>
      </c>
      <c r="C456" s="319"/>
      <c r="D456" s="320" t="s">
        <v>166</v>
      </c>
      <c r="E456" s="322">
        <v>13079031</v>
      </c>
      <c r="F456" s="279"/>
      <c r="G456" s="273">
        <f t="shared" ref="G456:G503" si="71">E456+F456</f>
        <v>13079031</v>
      </c>
      <c r="H456" s="281">
        <v>7523983</v>
      </c>
      <c r="I456" s="280">
        <f t="shared" si="68"/>
        <v>7900182.15</v>
      </c>
      <c r="J456" s="280"/>
      <c r="K456" s="304">
        <v>7523983</v>
      </c>
      <c r="L456" s="305">
        <f>H456-K456</f>
        <v>0</v>
      </c>
    </row>
    <row r="457" spans="1:12">
      <c r="A457" s="286"/>
      <c r="B457" s="319"/>
      <c r="C457" s="319"/>
      <c r="D457" s="320" t="s">
        <v>363</v>
      </c>
      <c r="E457" s="322"/>
      <c r="F457" s="279"/>
      <c r="G457" s="273">
        <f t="shared" si="71"/>
        <v>0</v>
      </c>
      <c r="H457" s="281"/>
      <c r="I457" s="280">
        <f t="shared" si="68"/>
        <v>0</v>
      </c>
      <c r="J457" s="280"/>
      <c r="K457" s="304"/>
      <c r="L457" s="305">
        <f t="shared" ref="L457:L504" si="72">H457-K457</f>
        <v>0</v>
      </c>
    </row>
    <row r="458" spans="1:12">
      <c r="A458" s="286"/>
      <c r="B458" s="319"/>
      <c r="C458" s="319"/>
      <c r="D458" s="320" t="s">
        <v>85</v>
      </c>
      <c r="E458" s="322">
        <f>850000</f>
        <v>850000</v>
      </c>
      <c r="F458" s="279"/>
      <c r="G458" s="273">
        <f t="shared" si="71"/>
        <v>850000</v>
      </c>
      <c r="H458" s="281">
        <v>850000</v>
      </c>
      <c r="I458" s="280">
        <f t="shared" si="68"/>
        <v>892500</v>
      </c>
      <c r="J458" s="280"/>
      <c r="K458" s="304">
        <v>850000</v>
      </c>
      <c r="L458" s="305">
        <f t="shared" si="72"/>
        <v>0</v>
      </c>
    </row>
    <row r="459" spans="1:12">
      <c r="A459" s="286"/>
      <c r="B459" s="319"/>
      <c r="C459" s="319"/>
      <c r="D459" s="320" t="s">
        <v>364</v>
      </c>
      <c r="E459" s="322">
        <f>500000</f>
        <v>500000</v>
      </c>
      <c r="F459" s="279">
        <v>-200000</v>
      </c>
      <c r="G459" s="273">
        <f t="shared" si="71"/>
        <v>300000</v>
      </c>
      <c r="H459" s="281">
        <v>239000</v>
      </c>
      <c r="I459" s="280">
        <f t="shared" si="68"/>
        <v>250950</v>
      </c>
      <c r="J459" s="280">
        <f>I459*1.05</f>
        <v>263497.5</v>
      </c>
      <c r="K459" s="304">
        <v>239000</v>
      </c>
      <c r="L459" s="305">
        <f t="shared" si="72"/>
        <v>0</v>
      </c>
    </row>
    <row r="460" spans="1:12">
      <c r="A460" s="286"/>
      <c r="B460" s="319"/>
      <c r="C460" s="319"/>
      <c r="D460" s="320" t="s">
        <v>87</v>
      </c>
      <c r="E460" s="322">
        <f>500000</f>
        <v>500000</v>
      </c>
      <c r="F460" s="279"/>
      <c r="G460" s="273">
        <f t="shared" si="71"/>
        <v>500000</v>
      </c>
      <c r="H460" s="281">
        <v>500000</v>
      </c>
      <c r="I460" s="280">
        <f t="shared" si="68"/>
        <v>525000</v>
      </c>
      <c r="J460" s="280">
        <f t="shared" ref="J460:J522" si="73">I460*1.05</f>
        <v>551250</v>
      </c>
      <c r="K460" s="304">
        <v>500000</v>
      </c>
      <c r="L460" s="305">
        <f t="shared" si="72"/>
        <v>0</v>
      </c>
    </row>
    <row r="461" spans="1:12">
      <c r="A461" s="286"/>
      <c r="B461" s="319"/>
      <c r="C461" s="319"/>
      <c r="D461" s="320" t="s">
        <v>228</v>
      </c>
      <c r="E461" s="322">
        <f>500000</f>
        <v>500000</v>
      </c>
      <c r="F461" s="279"/>
      <c r="G461" s="273">
        <f t="shared" si="71"/>
        <v>500000</v>
      </c>
      <c r="H461" s="281">
        <v>500000</v>
      </c>
      <c r="I461" s="280">
        <f t="shared" si="68"/>
        <v>525000</v>
      </c>
      <c r="J461" s="280">
        <f t="shared" si="73"/>
        <v>551250</v>
      </c>
      <c r="K461" s="304">
        <v>500000</v>
      </c>
      <c r="L461" s="305">
        <f t="shared" si="72"/>
        <v>0</v>
      </c>
    </row>
    <row r="462" spans="1:12">
      <c r="A462" s="286"/>
      <c r="B462" s="319"/>
      <c r="C462" s="319"/>
      <c r="D462" s="320" t="s">
        <v>365</v>
      </c>
      <c r="E462" s="322">
        <f>1000000</f>
        <v>1000000</v>
      </c>
      <c r="F462" s="279"/>
      <c r="G462" s="273">
        <f t="shared" si="71"/>
        <v>1000000</v>
      </c>
      <c r="H462" s="281">
        <v>1000000</v>
      </c>
      <c r="I462" s="280">
        <f t="shared" si="68"/>
        <v>1050000</v>
      </c>
      <c r="J462" s="280">
        <f t="shared" si="73"/>
        <v>1102500</v>
      </c>
      <c r="K462" s="304">
        <v>1000000</v>
      </c>
      <c r="L462" s="305">
        <f t="shared" si="72"/>
        <v>0</v>
      </c>
    </row>
    <row r="463" spans="1:12">
      <c r="A463" s="286"/>
      <c r="B463" s="319"/>
      <c r="C463" s="319"/>
      <c r="D463" s="320" t="s">
        <v>366</v>
      </c>
      <c r="E463" s="322"/>
      <c r="F463" s="279">
        <v>35000000</v>
      </c>
      <c r="G463" s="273">
        <f t="shared" si="71"/>
        <v>35000000</v>
      </c>
      <c r="H463" s="281">
        <v>28000000</v>
      </c>
      <c r="I463" s="280">
        <f t="shared" si="68"/>
        <v>29400000</v>
      </c>
      <c r="J463" s="280">
        <f t="shared" si="73"/>
        <v>30870000</v>
      </c>
      <c r="K463" s="304">
        <v>28000000</v>
      </c>
      <c r="L463" s="305">
        <f t="shared" si="72"/>
        <v>0</v>
      </c>
    </row>
    <row r="464" spans="1:12">
      <c r="A464" s="286"/>
      <c r="B464" s="319"/>
      <c r="C464" s="319"/>
      <c r="D464" s="320" t="s">
        <v>94</v>
      </c>
      <c r="E464" s="322"/>
      <c r="F464" s="279"/>
      <c r="G464" s="273">
        <f t="shared" si="71"/>
        <v>0</v>
      </c>
      <c r="H464" s="281"/>
      <c r="I464" s="280">
        <f t="shared" si="68"/>
        <v>0</v>
      </c>
      <c r="J464" s="280">
        <f t="shared" si="73"/>
        <v>0</v>
      </c>
      <c r="K464" s="304"/>
      <c r="L464" s="305">
        <f t="shared" si="72"/>
        <v>0</v>
      </c>
    </row>
    <row r="465" spans="1:12">
      <c r="A465" s="286"/>
      <c r="B465" s="319"/>
      <c r="C465" s="319"/>
      <c r="D465" s="320" t="s">
        <v>103</v>
      </c>
      <c r="E465" s="322">
        <f>1500000</f>
        <v>1500000</v>
      </c>
      <c r="F465" s="279"/>
      <c r="G465" s="273">
        <f t="shared" si="71"/>
        <v>1500000</v>
      </c>
      <c r="H465" s="281">
        <v>500000</v>
      </c>
      <c r="I465" s="280">
        <f t="shared" si="68"/>
        <v>525000</v>
      </c>
      <c r="J465" s="280">
        <f t="shared" si="73"/>
        <v>551250</v>
      </c>
      <c r="K465" s="304">
        <v>500000</v>
      </c>
      <c r="L465" s="305">
        <f t="shared" si="72"/>
        <v>0</v>
      </c>
    </row>
    <row r="466" spans="1:12">
      <c r="A466" s="286"/>
      <c r="B466" s="319"/>
      <c r="C466" s="319"/>
      <c r="D466" s="320" t="s">
        <v>170</v>
      </c>
      <c r="E466" s="322">
        <f>1000000</f>
        <v>1000000</v>
      </c>
      <c r="F466" s="279">
        <v>-800000</v>
      </c>
      <c r="G466" s="273">
        <f t="shared" si="71"/>
        <v>200000</v>
      </c>
      <c r="H466" s="281">
        <v>200000</v>
      </c>
      <c r="I466" s="280">
        <f t="shared" si="68"/>
        <v>210000</v>
      </c>
      <c r="J466" s="280">
        <f t="shared" si="73"/>
        <v>220500</v>
      </c>
      <c r="K466" s="304">
        <v>200000</v>
      </c>
      <c r="L466" s="305">
        <f t="shared" si="72"/>
        <v>0</v>
      </c>
    </row>
    <row r="467" spans="1:12">
      <c r="A467" s="286"/>
      <c r="B467" s="319"/>
      <c r="C467" s="319"/>
      <c r="D467" s="320" t="s">
        <v>167</v>
      </c>
      <c r="E467" s="322">
        <f>1000000</f>
        <v>1000000</v>
      </c>
      <c r="F467" s="279">
        <v>-500000</v>
      </c>
      <c r="G467" s="273">
        <f t="shared" si="71"/>
        <v>500000</v>
      </c>
      <c r="H467" s="281">
        <v>500000</v>
      </c>
      <c r="I467" s="280">
        <f t="shared" si="68"/>
        <v>525000</v>
      </c>
      <c r="J467" s="280">
        <f t="shared" si="73"/>
        <v>551250</v>
      </c>
      <c r="K467" s="304">
        <v>500000</v>
      </c>
      <c r="L467" s="305">
        <f t="shared" si="72"/>
        <v>0</v>
      </c>
    </row>
    <row r="468" spans="1:12">
      <c r="A468" s="286"/>
      <c r="B468" s="319"/>
      <c r="C468" s="319"/>
      <c r="D468" s="320" t="s">
        <v>367</v>
      </c>
      <c r="E468" s="322">
        <f>1000000</f>
        <v>1000000</v>
      </c>
      <c r="F468" s="279"/>
      <c r="G468" s="273">
        <f t="shared" si="71"/>
        <v>1000000</v>
      </c>
      <c r="H468" s="281">
        <v>1000000</v>
      </c>
      <c r="I468" s="280">
        <f t="shared" ref="I468:I533" si="74">H468*1.05</f>
        <v>1050000</v>
      </c>
      <c r="J468" s="280">
        <f t="shared" si="73"/>
        <v>1102500</v>
      </c>
      <c r="K468" s="304">
        <v>1000000</v>
      </c>
      <c r="L468" s="305">
        <f t="shared" si="72"/>
        <v>0</v>
      </c>
    </row>
    <row r="469" spans="1:12">
      <c r="A469" s="286"/>
      <c r="B469" s="319"/>
      <c r="C469" s="319"/>
      <c r="D469" s="320" t="s">
        <v>145</v>
      </c>
      <c r="E469" s="322"/>
      <c r="F469" s="279"/>
      <c r="G469" s="273">
        <f t="shared" si="71"/>
        <v>0</v>
      </c>
      <c r="H469" s="281"/>
      <c r="I469" s="280">
        <f t="shared" si="74"/>
        <v>0</v>
      </c>
      <c r="J469" s="280">
        <f t="shared" si="73"/>
        <v>0</v>
      </c>
      <c r="K469" s="304"/>
      <c r="L469" s="305">
        <f t="shared" si="72"/>
        <v>0</v>
      </c>
    </row>
    <row r="470" ht="21.75" customHeight="1" spans="1:12">
      <c r="A470" s="286"/>
      <c r="B470" s="319"/>
      <c r="C470" s="319"/>
      <c r="D470" s="320" t="s">
        <v>84</v>
      </c>
      <c r="E470" s="322"/>
      <c r="F470" s="279"/>
      <c r="G470" s="273">
        <f t="shared" si="71"/>
        <v>0</v>
      </c>
      <c r="H470" s="281">
        <v>500000</v>
      </c>
      <c r="I470" s="280">
        <f t="shared" si="74"/>
        <v>525000</v>
      </c>
      <c r="J470" s="280">
        <f t="shared" si="73"/>
        <v>551250</v>
      </c>
      <c r="K470" s="304">
        <v>500000</v>
      </c>
      <c r="L470" s="305">
        <f t="shared" si="72"/>
        <v>0</v>
      </c>
    </row>
    <row r="471" spans="1:12">
      <c r="A471" s="286"/>
      <c r="B471" s="319"/>
      <c r="C471" s="319"/>
      <c r="D471" s="320" t="s">
        <v>171</v>
      </c>
      <c r="E471" s="322">
        <f>500000</f>
        <v>500000</v>
      </c>
      <c r="F471" s="279"/>
      <c r="G471" s="273">
        <f t="shared" si="71"/>
        <v>500000</v>
      </c>
      <c r="H471" s="281">
        <v>1000000</v>
      </c>
      <c r="I471" s="280">
        <f t="shared" si="74"/>
        <v>1050000</v>
      </c>
      <c r="J471" s="280">
        <f t="shared" si="73"/>
        <v>1102500</v>
      </c>
      <c r="K471" s="304">
        <v>1000000</v>
      </c>
      <c r="L471" s="305">
        <f t="shared" si="72"/>
        <v>0</v>
      </c>
    </row>
    <row r="472" spans="1:12">
      <c r="A472" s="286"/>
      <c r="B472" s="319"/>
      <c r="C472" s="319"/>
      <c r="D472" s="320" t="s">
        <v>100</v>
      </c>
      <c r="E472" s="322"/>
      <c r="F472" s="279"/>
      <c r="G472" s="273">
        <f t="shared" si="71"/>
        <v>0</v>
      </c>
      <c r="H472" s="281"/>
      <c r="I472" s="280">
        <f t="shared" si="74"/>
        <v>0</v>
      </c>
      <c r="J472" s="280">
        <f t="shared" si="73"/>
        <v>0</v>
      </c>
      <c r="K472" s="304"/>
      <c r="L472" s="305">
        <f t="shared" si="72"/>
        <v>0</v>
      </c>
    </row>
    <row r="473" spans="1:12">
      <c r="A473" s="286"/>
      <c r="B473" s="319"/>
      <c r="C473" s="319"/>
      <c r="D473" s="320" t="s">
        <v>146</v>
      </c>
      <c r="E473" s="322">
        <f>1000000</f>
        <v>1000000</v>
      </c>
      <c r="F473" s="279"/>
      <c r="G473" s="273">
        <f t="shared" si="71"/>
        <v>1000000</v>
      </c>
      <c r="H473" s="281">
        <v>1000000</v>
      </c>
      <c r="I473" s="280">
        <f t="shared" si="74"/>
        <v>1050000</v>
      </c>
      <c r="J473" s="280">
        <f t="shared" si="73"/>
        <v>1102500</v>
      </c>
      <c r="K473" s="304">
        <v>1000000</v>
      </c>
      <c r="L473" s="305">
        <f t="shared" si="72"/>
        <v>0</v>
      </c>
    </row>
    <row r="474" spans="1:12">
      <c r="A474" s="286"/>
      <c r="B474" s="319"/>
      <c r="C474" s="319"/>
      <c r="D474" s="320" t="s">
        <v>368</v>
      </c>
      <c r="E474" s="322">
        <f>1000000</f>
        <v>1000000</v>
      </c>
      <c r="F474" s="279"/>
      <c r="G474" s="273">
        <f t="shared" si="71"/>
        <v>1000000</v>
      </c>
      <c r="H474" s="281">
        <v>1000000</v>
      </c>
      <c r="I474" s="280">
        <f t="shared" si="74"/>
        <v>1050000</v>
      </c>
      <c r="J474" s="280">
        <f t="shared" si="73"/>
        <v>1102500</v>
      </c>
      <c r="K474" s="304">
        <v>1000000</v>
      </c>
      <c r="L474" s="305">
        <f t="shared" si="72"/>
        <v>0</v>
      </c>
    </row>
    <row r="475" spans="1:12">
      <c r="A475" s="286"/>
      <c r="B475" s="319"/>
      <c r="C475" s="319"/>
      <c r="D475" s="320" t="s">
        <v>369</v>
      </c>
      <c r="E475" s="322"/>
      <c r="F475" s="279"/>
      <c r="G475" s="273">
        <f t="shared" si="71"/>
        <v>0</v>
      </c>
      <c r="H475" s="281"/>
      <c r="I475" s="280">
        <f t="shared" si="74"/>
        <v>0</v>
      </c>
      <c r="J475" s="280">
        <f t="shared" si="73"/>
        <v>0</v>
      </c>
      <c r="K475" s="304"/>
      <c r="L475" s="305">
        <f t="shared" si="72"/>
        <v>0</v>
      </c>
    </row>
    <row r="476" spans="1:12">
      <c r="A476" s="286"/>
      <c r="B476" s="319"/>
      <c r="C476" s="319"/>
      <c r="D476" s="320" t="s">
        <v>370</v>
      </c>
      <c r="E476" s="322"/>
      <c r="F476" s="279"/>
      <c r="G476" s="273">
        <f t="shared" si="71"/>
        <v>0</v>
      </c>
      <c r="H476" s="281"/>
      <c r="I476" s="280">
        <f t="shared" si="74"/>
        <v>0</v>
      </c>
      <c r="J476" s="280">
        <f t="shared" si="73"/>
        <v>0</v>
      </c>
      <c r="K476" s="304"/>
      <c r="L476" s="305">
        <f t="shared" si="72"/>
        <v>0</v>
      </c>
    </row>
    <row r="477" spans="1:12">
      <c r="A477" s="286"/>
      <c r="B477" s="319" t="s">
        <v>371</v>
      </c>
      <c r="C477" s="319"/>
      <c r="D477" s="320" t="s">
        <v>372</v>
      </c>
      <c r="E477" s="322"/>
      <c r="F477" s="279"/>
      <c r="G477" s="273">
        <f t="shared" si="71"/>
        <v>0</v>
      </c>
      <c r="H477" s="281"/>
      <c r="I477" s="280">
        <f t="shared" si="74"/>
        <v>0</v>
      </c>
      <c r="J477" s="280">
        <f t="shared" si="73"/>
        <v>0</v>
      </c>
      <c r="K477" s="304"/>
      <c r="L477" s="305">
        <f t="shared" si="72"/>
        <v>0</v>
      </c>
    </row>
    <row r="478" ht="40.8" spans="1:12">
      <c r="A478" s="286"/>
      <c r="B478" s="319" t="s">
        <v>373</v>
      </c>
      <c r="C478" s="319"/>
      <c r="D478" s="320" t="s">
        <v>374</v>
      </c>
      <c r="E478" s="322"/>
      <c r="F478" s="279"/>
      <c r="G478" s="273">
        <f t="shared" si="71"/>
        <v>0</v>
      </c>
      <c r="H478" s="281"/>
      <c r="I478" s="280">
        <f t="shared" si="74"/>
        <v>0</v>
      </c>
      <c r="J478" s="280">
        <f t="shared" si="73"/>
        <v>0</v>
      </c>
      <c r="K478" s="304"/>
      <c r="L478" s="305">
        <f t="shared" si="72"/>
        <v>0</v>
      </c>
    </row>
    <row r="479" ht="9.75" customHeight="1" spans="1:12">
      <c r="A479" s="286" t="s">
        <v>375</v>
      </c>
      <c r="B479" s="319"/>
      <c r="C479" s="319"/>
      <c r="D479" s="320"/>
      <c r="E479" s="322"/>
      <c r="F479" s="279"/>
      <c r="G479" s="273">
        <f t="shared" si="71"/>
        <v>0</v>
      </c>
      <c r="H479" s="281"/>
      <c r="I479" s="280">
        <f t="shared" si="74"/>
        <v>0</v>
      </c>
      <c r="J479" s="280">
        <f t="shared" si="73"/>
        <v>0</v>
      </c>
      <c r="K479" s="304"/>
      <c r="L479" s="305">
        <f t="shared" si="72"/>
        <v>0</v>
      </c>
    </row>
    <row r="480" spans="1:12">
      <c r="A480" s="286"/>
      <c r="B480" s="319" t="s">
        <v>376</v>
      </c>
      <c r="C480" s="319"/>
      <c r="D480" s="320" t="s">
        <v>272</v>
      </c>
      <c r="E480" s="271"/>
      <c r="F480" s="279"/>
      <c r="G480" s="273">
        <f t="shared" si="71"/>
        <v>0</v>
      </c>
      <c r="H480" s="281"/>
      <c r="I480" s="280">
        <f t="shared" si="74"/>
        <v>0</v>
      </c>
      <c r="J480" s="280">
        <f t="shared" si="73"/>
        <v>0</v>
      </c>
      <c r="K480" s="304"/>
      <c r="L480" s="305">
        <f t="shared" si="72"/>
        <v>0</v>
      </c>
    </row>
    <row r="481" spans="1:12">
      <c r="A481" s="286"/>
      <c r="B481" s="319"/>
      <c r="C481" s="319"/>
      <c r="D481" s="320" t="s">
        <v>100</v>
      </c>
      <c r="E481" s="271"/>
      <c r="F481" s="279"/>
      <c r="G481" s="273">
        <f t="shared" si="71"/>
        <v>0</v>
      </c>
      <c r="H481" s="281"/>
      <c r="I481" s="280">
        <f t="shared" si="74"/>
        <v>0</v>
      </c>
      <c r="J481" s="280">
        <f t="shared" si="73"/>
        <v>0</v>
      </c>
      <c r="K481" s="304"/>
      <c r="L481" s="305">
        <f t="shared" si="72"/>
        <v>0</v>
      </c>
    </row>
    <row r="482" spans="1:12">
      <c r="A482" s="286"/>
      <c r="B482" s="319"/>
      <c r="C482" s="319"/>
      <c r="D482" s="320" t="s">
        <v>145</v>
      </c>
      <c r="E482" s="271">
        <v>300000</v>
      </c>
      <c r="F482" s="279"/>
      <c r="G482" s="273">
        <f t="shared" si="71"/>
        <v>300000</v>
      </c>
      <c r="H482" s="281">
        <v>300000</v>
      </c>
      <c r="I482" s="280">
        <f t="shared" si="74"/>
        <v>315000</v>
      </c>
      <c r="J482" s="280">
        <f t="shared" si="73"/>
        <v>330750</v>
      </c>
      <c r="K482" s="304">
        <v>300000</v>
      </c>
      <c r="L482" s="305">
        <f t="shared" si="72"/>
        <v>0</v>
      </c>
    </row>
    <row r="483" spans="1:12">
      <c r="A483" s="286"/>
      <c r="B483" s="319"/>
      <c r="C483" s="319"/>
      <c r="D483" s="320" t="s">
        <v>168</v>
      </c>
      <c r="E483" s="271">
        <v>100000</v>
      </c>
      <c r="F483" s="279"/>
      <c r="G483" s="273">
        <f t="shared" si="71"/>
        <v>100000</v>
      </c>
      <c r="H483" s="281">
        <v>100000</v>
      </c>
      <c r="I483" s="280">
        <f t="shared" si="74"/>
        <v>105000</v>
      </c>
      <c r="J483" s="280">
        <f t="shared" si="73"/>
        <v>110250</v>
      </c>
      <c r="K483" s="304">
        <v>100000</v>
      </c>
      <c r="L483" s="305">
        <f t="shared" si="72"/>
        <v>0</v>
      </c>
    </row>
    <row r="484" spans="1:12">
      <c r="A484" s="286"/>
      <c r="B484" s="319" t="s">
        <v>377</v>
      </c>
      <c r="C484" s="319"/>
      <c r="D484" s="320" t="s">
        <v>277</v>
      </c>
      <c r="E484" s="271">
        <v>1000000</v>
      </c>
      <c r="F484" s="279"/>
      <c r="G484" s="273">
        <f t="shared" si="71"/>
        <v>1000000</v>
      </c>
      <c r="H484" s="281">
        <v>1000000</v>
      </c>
      <c r="I484" s="280">
        <f t="shared" si="74"/>
        <v>1050000</v>
      </c>
      <c r="J484" s="280">
        <f t="shared" si="73"/>
        <v>1102500</v>
      </c>
      <c r="K484" s="304">
        <v>1000000</v>
      </c>
      <c r="L484" s="305">
        <f t="shared" si="72"/>
        <v>0</v>
      </c>
    </row>
    <row r="485" spans="1:12">
      <c r="A485" s="286"/>
      <c r="B485" s="319"/>
      <c r="C485" s="319"/>
      <c r="D485" s="320" t="s">
        <v>378</v>
      </c>
      <c r="E485" s="271"/>
      <c r="F485" s="279"/>
      <c r="G485" s="273">
        <f t="shared" si="71"/>
        <v>0</v>
      </c>
      <c r="H485" s="281"/>
      <c r="I485" s="280">
        <f t="shared" si="74"/>
        <v>0</v>
      </c>
      <c r="J485" s="280">
        <f t="shared" si="73"/>
        <v>0</v>
      </c>
      <c r="K485" s="304"/>
      <c r="L485" s="305">
        <f t="shared" si="72"/>
        <v>0</v>
      </c>
    </row>
    <row r="486" spans="1:12">
      <c r="A486" s="286"/>
      <c r="B486" s="319"/>
      <c r="C486" s="319"/>
      <c r="D486" s="320" t="s">
        <v>228</v>
      </c>
      <c r="E486" s="271">
        <v>600000</v>
      </c>
      <c r="F486" s="279">
        <v>-500000</v>
      </c>
      <c r="G486" s="273">
        <f t="shared" si="71"/>
        <v>100000</v>
      </c>
      <c r="H486" s="281">
        <v>100000</v>
      </c>
      <c r="I486" s="280">
        <f t="shared" si="74"/>
        <v>105000</v>
      </c>
      <c r="J486" s="280">
        <f t="shared" si="73"/>
        <v>110250</v>
      </c>
      <c r="K486" s="304">
        <v>100000</v>
      </c>
      <c r="L486" s="305">
        <f t="shared" si="72"/>
        <v>0</v>
      </c>
    </row>
    <row r="487" spans="1:12">
      <c r="A487" s="286"/>
      <c r="B487" s="319"/>
      <c r="C487" s="355">
        <v>2210309</v>
      </c>
      <c r="D487" s="356" t="s">
        <v>107</v>
      </c>
      <c r="E487" s="271">
        <f>1000000</f>
        <v>1000000</v>
      </c>
      <c r="F487" s="279"/>
      <c r="G487" s="273">
        <f t="shared" si="71"/>
        <v>1000000</v>
      </c>
      <c r="H487" s="357">
        <f>2000000</f>
        <v>2000000</v>
      </c>
      <c r="I487" s="280">
        <f t="shared" si="74"/>
        <v>2100000</v>
      </c>
      <c r="J487" s="280">
        <f t="shared" si="73"/>
        <v>2205000</v>
      </c>
      <c r="K487" s="304"/>
      <c r="L487" s="305">
        <f t="shared" si="72"/>
        <v>2000000</v>
      </c>
    </row>
    <row r="488" spans="1:12">
      <c r="A488" s="286"/>
      <c r="B488" s="319"/>
      <c r="C488" s="355">
        <v>2210502</v>
      </c>
      <c r="D488" s="356" t="s">
        <v>379</v>
      </c>
      <c r="E488" s="271"/>
      <c r="F488" s="279"/>
      <c r="G488" s="273"/>
      <c r="H488" s="357">
        <f>300000</f>
        <v>300000</v>
      </c>
      <c r="I488" s="280">
        <f t="shared" si="74"/>
        <v>315000</v>
      </c>
      <c r="J488" s="280">
        <f t="shared" si="73"/>
        <v>330750</v>
      </c>
      <c r="K488" s="304"/>
      <c r="L488" s="305">
        <f t="shared" si="72"/>
        <v>300000</v>
      </c>
    </row>
    <row r="489" spans="1:12">
      <c r="A489" s="286"/>
      <c r="B489" s="319"/>
      <c r="C489" s="355">
        <v>2210309</v>
      </c>
      <c r="D489" s="356" t="s">
        <v>380</v>
      </c>
      <c r="E489" s="271"/>
      <c r="F489" s="279"/>
      <c r="G489" s="273"/>
      <c r="H489" s="357">
        <f>700000</f>
        <v>700000</v>
      </c>
      <c r="I489" s="280">
        <f t="shared" si="74"/>
        <v>735000</v>
      </c>
      <c r="J489" s="280">
        <f t="shared" si="73"/>
        <v>771750</v>
      </c>
      <c r="K489" s="304"/>
      <c r="L489" s="305">
        <f t="shared" si="72"/>
        <v>700000</v>
      </c>
    </row>
    <row r="490" spans="1:12">
      <c r="A490" s="286"/>
      <c r="B490" s="319"/>
      <c r="C490" s="319"/>
      <c r="D490" s="320" t="s">
        <v>100</v>
      </c>
      <c r="E490" s="271">
        <v>800000</v>
      </c>
      <c r="F490" s="279"/>
      <c r="G490" s="273">
        <f t="shared" si="71"/>
        <v>800000</v>
      </c>
      <c r="H490" s="281">
        <v>800000</v>
      </c>
      <c r="I490" s="280">
        <f t="shared" si="74"/>
        <v>840000</v>
      </c>
      <c r="J490" s="280">
        <f t="shared" si="73"/>
        <v>882000</v>
      </c>
      <c r="K490" s="304">
        <v>800000</v>
      </c>
      <c r="L490" s="305">
        <f t="shared" si="72"/>
        <v>0</v>
      </c>
    </row>
    <row r="491" spans="1:12">
      <c r="A491" s="286"/>
      <c r="B491" s="319"/>
      <c r="C491" s="319"/>
      <c r="D491" s="320" t="s">
        <v>145</v>
      </c>
      <c r="E491" s="271">
        <v>250000</v>
      </c>
      <c r="F491" s="279"/>
      <c r="G491" s="273">
        <f t="shared" si="71"/>
        <v>250000</v>
      </c>
      <c r="H491" s="281">
        <v>250000</v>
      </c>
      <c r="I491" s="280">
        <f t="shared" si="74"/>
        <v>262500</v>
      </c>
      <c r="J491" s="280">
        <f t="shared" si="73"/>
        <v>275625</v>
      </c>
      <c r="K491" s="304">
        <v>250000</v>
      </c>
      <c r="L491" s="305">
        <f t="shared" si="72"/>
        <v>0</v>
      </c>
    </row>
    <row r="492" ht="19.5" customHeight="1" spans="1:12">
      <c r="A492" s="286"/>
      <c r="B492" s="319" t="s">
        <v>381</v>
      </c>
      <c r="C492" s="319"/>
      <c r="D492" s="320" t="s">
        <v>100</v>
      </c>
      <c r="E492" s="271">
        <f>100000</f>
        <v>100000</v>
      </c>
      <c r="F492" s="279"/>
      <c r="G492" s="273">
        <f t="shared" si="71"/>
        <v>100000</v>
      </c>
      <c r="H492" s="281">
        <v>100000</v>
      </c>
      <c r="I492" s="280">
        <f t="shared" si="74"/>
        <v>105000</v>
      </c>
      <c r="J492" s="280">
        <f t="shared" si="73"/>
        <v>110250</v>
      </c>
      <c r="K492" s="304">
        <v>100000</v>
      </c>
      <c r="L492" s="305">
        <f t="shared" si="72"/>
        <v>0</v>
      </c>
    </row>
    <row r="493" ht="1.5" hidden="1" customHeight="1" spans="1:12">
      <c r="A493" s="286"/>
      <c r="B493" s="319"/>
      <c r="C493" s="319"/>
      <c r="D493" s="320"/>
      <c r="E493" s="271"/>
      <c r="F493" s="279"/>
      <c r="G493" s="273">
        <f t="shared" si="71"/>
        <v>0</v>
      </c>
      <c r="H493" s="281"/>
      <c r="I493" s="280">
        <f t="shared" si="74"/>
        <v>0</v>
      </c>
      <c r="J493" s="280">
        <f t="shared" si="73"/>
        <v>0</v>
      </c>
      <c r="K493" s="304"/>
      <c r="L493" s="305">
        <f t="shared" si="72"/>
        <v>0</v>
      </c>
    </row>
    <row r="494" spans="1:12">
      <c r="A494" s="286"/>
      <c r="B494" s="319"/>
      <c r="C494" s="319"/>
      <c r="D494" s="320" t="s">
        <v>85</v>
      </c>
      <c r="E494" s="271">
        <f>700000</f>
        <v>700000</v>
      </c>
      <c r="F494" s="279"/>
      <c r="G494" s="273">
        <f t="shared" si="71"/>
        <v>700000</v>
      </c>
      <c r="H494" s="281">
        <v>700000</v>
      </c>
      <c r="I494" s="280">
        <f t="shared" si="74"/>
        <v>735000</v>
      </c>
      <c r="J494" s="280">
        <f t="shared" si="73"/>
        <v>771750</v>
      </c>
      <c r="K494" s="304">
        <v>700000</v>
      </c>
      <c r="L494" s="305">
        <f t="shared" si="72"/>
        <v>0</v>
      </c>
    </row>
    <row r="495" ht="9" hidden="1" customHeight="1" spans="1:12">
      <c r="A495" s="286"/>
      <c r="B495" s="319"/>
      <c r="C495" s="319"/>
      <c r="D495" s="358"/>
      <c r="E495" s="271"/>
      <c r="F495" s="279"/>
      <c r="G495" s="273">
        <f t="shared" si="71"/>
        <v>0</v>
      </c>
      <c r="H495" s="281"/>
      <c r="I495" s="280">
        <f t="shared" si="74"/>
        <v>0</v>
      </c>
      <c r="J495" s="280">
        <f t="shared" si="73"/>
        <v>0</v>
      </c>
      <c r="K495" s="304"/>
      <c r="L495" s="305">
        <f t="shared" si="72"/>
        <v>0</v>
      </c>
    </row>
    <row r="496" spans="1:12">
      <c r="A496" s="286"/>
      <c r="B496" s="319"/>
      <c r="C496" s="319"/>
      <c r="D496" s="320" t="s">
        <v>364</v>
      </c>
      <c r="E496" s="271">
        <v>200000</v>
      </c>
      <c r="F496" s="279"/>
      <c r="G496" s="273">
        <f t="shared" si="71"/>
        <v>200000</v>
      </c>
      <c r="H496" s="281">
        <v>200000</v>
      </c>
      <c r="I496" s="280">
        <f t="shared" si="74"/>
        <v>210000</v>
      </c>
      <c r="J496" s="280">
        <f t="shared" si="73"/>
        <v>220500</v>
      </c>
      <c r="K496" s="304">
        <v>200000</v>
      </c>
      <c r="L496" s="305">
        <f t="shared" si="72"/>
        <v>0</v>
      </c>
    </row>
    <row r="497" spans="1:12">
      <c r="A497" s="286"/>
      <c r="B497" s="319"/>
      <c r="C497" s="319"/>
      <c r="D497" s="320" t="s">
        <v>145</v>
      </c>
      <c r="E497" s="271">
        <v>100000</v>
      </c>
      <c r="F497" s="279"/>
      <c r="G497" s="273">
        <f t="shared" si="71"/>
        <v>100000</v>
      </c>
      <c r="H497" s="281">
        <v>100000</v>
      </c>
      <c r="I497" s="280">
        <f t="shared" si="74"/>
        <v>105000</v>
      </c>
      <c r="J497" s="280">
        <f t="shared" si="73"/>
        <v>110250</v>
      </c>
      <c r="K497" s="304">
        <v>100000</v>
      </c>
      <c r="L497" s="305">
        <f t="shared" si="72"/>
        <v>0</v>
      </c>
    </row>
    <row r="498" customHeight="1" spans="1:12">
      <c r="A498" s="286"/>
      <c r="B498" s="319"/>
      <c r="C498" s="319"/>
      <c r="D498" s="320" t="s">
        <v>84</v>
      </c>
      <c r="E498" s="271">
        <v>200000</v>
      </c>
      <c r="F498" s="279"/>
      <c r="G498" s="273">
        <f t="shared" si="71"/>
        <v>200000</v>
      </c>
      <c r="H498" s="281">
        <v>200000</v>
      </c>
      <c r="I498" s="280">
        <f t="shared" si="74"/>
        <v>210000</v>
      </c>
      <c r="J498" s="280">
        <f t="shared" si="73"/>
        <v>220500</v>
      </c>
      <c r="K498" s="304">
        <v>200000</v>
      </c>
      <c r="L498" s="305">
        <f t="shared" si="72"/>
        <v>0</v>
      </c>
    </row>
    <row r="499" spans="1:12">
      <c r="A499" s="286"/>
      <c r="B499" s="319" t="s">
        <v>382</v>
      </c>
      <c r="C499" s="319"/>
      <c r="D499" s="320" t="s">
        <v>85</v>
      </c>
      <c r="E499" s="271">
        <f>350000</f>
        <v>350000</v>
      </c>
      <c r="F499" s="279"/>
      <c r="G499" s="273">
        <f t="shared" si="71"/>
        <v>350000</v>
      </c>
      <c r="H499" s="281">
        <v>350000</v>
      </c>
      <c r="I499" s="280">
        <f t="shared" si="74"/>
        <v>367500</v>
      </c>
      <c r="J499" s="280">
        <f t="shared" si="73"/>
        <v>385875</v>
      </c>
      <c r="K499" s="304">
        <v>350000</v>
      </c>
      <c r="L499" s="305">
        <f t="shared" si="72"/>
        <v>0</v>
      </c>
    </row>
    <row r="500" spans="1:12">
      <c r="A500" s="286"/>
      <c r="B500" s="319"/>
      <c r="C500" s="319"/>
      <c r="D500" s="320" t="s">
        <v>145</v>
      </c>
      <c r="E500" s="271">
        <v>200000</v>
      </c>
      <c r="F500" s="279"/>
      <c r="G500" s="273">
        <f t="shared" si="71"/>
        <v>200000</v>
      </c>
      <c r="H500" s="281">
        <v>200000</v>
      </c>
      <c r="I500" s="280">
        <f t="shared" si="74"/>
        <v>210000</v>
      </c>
      <c r="J500" s="280">
        <f t="shared" si="73"/>
        <v>220500</v>
      </c>
      <c r="K500" s="304">
        <v>200000</v>
      </c>
      <c r="L500" s="305">
        <f t="shared" si="72"/>
        <v>0</v>
      </c>
    </row>
    <row r="501" ht="24.75" customHeight="1" spans="1:12">
      <c r="A501" s="286"/>
      <c r="B501" s="319"/>
      <c r="C501" s="319"/>
      <c r="D501" s="320" t="s">
        <v>84</v>
      </c>
      <c r="E501" s="271">
        <v>100000</v>
      </c>
      <c r="F501" s="279"/>
      <c r="G501" s="273">
        <f t="shared" si="71"/>
        <v>100000</v>
      </c>
      <c r="H501" s="281">
        <v>100000</v>
      </c>
      <c r="I501" s="280">
        <f t="shared" si="74"/>
        <v>105000</v>
      </c>
      <c r="J501" s="280">
        <f t="shared" si="73"/>
        <v>110250</v>
      </c>
      <c r="K501" s="304">
        <v>100000</v>
      </c>
      <c r="L501" s="305">
        <f t="shared" si="72"/>
        <v>0</v>
      </c>
    </row>
    <row r="502" spans="1:12">
      <c r="A502" s="286"/>
      <c r="B502" s="319"/>
      <c r="C502" s="319"/>
      <c r="D502" s="320" t="s">
        <v>278</v>
      </c>
      <c r="E502" s="271">
        <f>350000</f>
        <v>350000</v>
      </c>
      <c r="F502" s="279">
        <v>-100000</v>
      </c>
      <c r="G502" s="273">
        <f t="shared" si="71"/>
        <v>250000</v>
      </c>
      <c r="H502" s="281">
        <v>250000</v>
      </c>
      <c r="I502" s="280">
        <f t="shared" si="74"/>
        <v>262500</v>
      </c>
      <c r="J502" s="280">
        <f t="shared" si="73"/>
        <v>275625</v>
      </c>
      <c r="K502" s="304">
        <v>250000</v>
      </c>
      <c r="L502" s="305">
        <f t="shared" si="72"/>
        <v>0</v>
      </c>
    </row>
    <row r="503" spans="1:12">
      <c r="A503" s="286"/>
      <c r="B503" s="319"/>
      <c r="C503" s="319"/>
      <c r="D503" s="320"/>
      <c r="E503" s="271"/>
      <c r="F503" s="279"/>
      <c r="G503" s="273">
        <f t="shared" si="71"/>
        <v>0</v>
      </c>
      <c r="H503" s="281"/>
      <c r="I503" s="280">
        <f t="shared" si="74"/>
        <v>0</v>
      </c>
      <c r="J503" s="280">
        <f t="shared" si="73"/>
        <v>0</v>
      </c>
      <c r="K503" s="304"/>
      <c r="L503" s="305">
        <f t="shared" si="72"/>
        <v>0</v>
      </c>
    </row>
    <row r="504" spans="1:12">
      <c r="A504" s="309"/>
      <c r="B504" s="352"/>
      <c r="C504" s="352"/>
      <c r="D504" s="309" t="s">
        <v>162</v>
      </c>
      <c r="E504" s="310">
        <f t="shared" ref="E504" si="75">SUM(E456:E503)</f>
        <v>29779031</v>
      </c>
      <c r="F504" s="311">
        <f t="shared" ref="F504:H504" si="76">SUM(F456:F503)</f>
        <v>32900000</v>
      </c>
      <c r="G504" s="312">
        <f t="shared" si="76"/>
        <v>62679031</v>
      </c>
      <c r="H504" s="348">
        <f t="shared" si="76"/>
        <v>52062983</v>
      </c>
      <c r="I504" s="348">
        <f t="shared" ref="I504:J504" si="77">SUM(I456:I503)</f>
        <v>54666132.15</v>
      </c>
      <c r="J504" s="346">
        <f t="shared" si="77"/>
        <v>48167122.5</v>
      </c>
      <c r="K504" s="304">
        <v>49062983</v>
      </c>
      <c r="L504" s="305">
        <f t="shared" si="72"/>
        <v>3000000</v>
      </c>
    </row>
    <row r="505" ht="9" customHeight="1" spans="1:10">
      <c r="A505" s="313"/>
      <c r="B505" s="314"/>
      <c r="C505" s="315"/>
      <c r="D505" s="315"/>
      <c r="E505" s="315"/>
      <c r="F505" s="279"/>
      <c r="G505" s="280"/>
      <c r="H505" s="281"/>
      <c r="I505" s="280"/>
      <c r="J505" s="280"/>
    </row>
    <row r="506" spans="1:10">
      <c r="A506" s="337" t="s">
        <v>383</v>
      </c>
      <c r="B506" s="317" t="s">
        <v>63</v>
      </c>
      <c r="C506" s="317"/>
      <c r="D506" s="317"/>
      <c r="E506" s="317"/>
      <c r="F506" s="317"/>
      <c r="G506" s="317"/>
      <c r="H506" s="318"/>
      <c r="I506" s="324"/>
      <c r="J506" s="324"/>
    </row>
    <row r="507" spans="1:10">
      <c r="A507" s="286"/>
      <c r="B507" s="319" t="s">
        <v>384</v>
      </c>
      <c r="C507" s="319"/>
      <c r="D507" s="320" t="s">
        <v>385</v>
      </c>
      <c r="E507" s="322">
        <f>20675881</f>
        <v>20675881</v>
      </c>
      <c r="F507" s="279"/>
      <c r="G507" s="273">
        <f t="shared" ref="G507:G522" si="78">E507+F507</f>
        <v>20675881</v>
      </c>
      <c r="H507" s="281">
        <v>21709675</v>
      </c>
      <c r="I507" s="280">
        <f t="shared" si="74"/>
        <v>22795158.75</v>
      </c>
      <c r="J507" s="280">
        <f t="shared" si="73"/>
        <v>23934916.6875</v>
      </c>
    </row>
    <row r="508" spans="1:10">
      <c r="A508" s="286"/>
      <c r="B508" s="319"/>
      <c r="C508" s="319"/>
      <c r="D508" s="320" t="s">
        <v>386</v>
      </c>
      <c r="E508" s="322"/>
      <c r="F508" s="279"/>
      <c r="G508" s="273">
        <f t="shared" si="78"/>
        <v>0</v>
      </c>
      <c r="H508" s="281">
        <v>0</v>
      </c>
      <c r="I508" s="280">
        <f t="shared" si="74"/>
        <v>0</v>
      </c>
      <c r="J508" s="280">
        <f t="shared" si="73"/>
        <v>0</v>
      </c>
    </row>
    <row r="509" spans="1:10">
      <c r="A509" s="286"/>
      <c r="B509" s="319"/>
      <c r="C509" s="319"/>
      <c r="D509" s="320" t="s">
        <v>387</v>
      </c>
      <c r="E509" s="322"/>
      <c r="F509" s="279"/>
      <c r="G509" s="273">
        <f t="shared" si="78"/>
        <v>0</v>
      </c>
      <c r="H509" s="281">
        <v>0</v>
      </c>
      <c r="I509" s="280">
        <f t="shared" si="74"/>
        <v>0</v>
      </c>
      <c r="J509" s="280">
        <f t="shared" si="73"/>
        <v>0</v>
      </c>
    </row>
    <row r="510" spans="1:10">
      <c r="A510" s="286"/>
      <c r="B510" s="319"/>
      <c r="C510" s="319"/>
      <c r="D510" s="320" t="s">
        <v>86</v>
      </c>
      <c r="E510" s="322"/>
      <c r="F510" s="279"/>
      <c r="G510" s="273">
        <f t="shared" si="78"/>
        <v>0</v>
      </c>
      <c r="H510" s="281">
        <v>0</v>
      </c>
      <c r="I510" s="280">
        <f t="shared" si="74"/>
        <v>0</v>
      </c>
      <c r="J510" s="280">
        <f t="shared" si="73"/>
        <v>0</v>
      </c>
    </row>
    <row r="511" spans="1:10">
      <c r="A511" s="286"/>
      <c r="B511" s="319"/>
      <c r="C511" s="319"/>
      <c r="D511" s="320" t="s">
        <v>388</v>
      </c>
      <c r="E511" s="322">
        <f>5000000</f>
        <v>5000000</v>
      </c>
      <c r="F511" s="279"/>
      <c r="G511" s="273">
        <f t="shared" si="78"/>
        <v>5000000</v>
      </c>
      <c r="H511" s="281">
        <f>1000000</f>
        <v>1000000</v>
      </c>
      <c r="I511" s="280">
        <f t="shared" si="74"/>
        <v>1050000</v>
      </c>
      <c r="J511" s="280">
        <f t="shared" si="73"/>
        <v>1102500</v>
      </c>
    </row>
    <row r="512" spans="1:10">
      <c r="A512" s="286"/>
      <c r="B512" s="319"/>
      <c r="C512" s="319"/>
      <c r="D512" s="320" t="s">
        <v>389</v>
      </c>
      <c r="E512" s="322">
        <f>3000000</f>
        <v>3000000</v>
      </c>
      <c r="F512" s="279"/>
      <c r="G512" s="273">
        <f t="shared" si="78"/>
        <v>3000000</v>
      </c>
      <c r="H512" s="281">
        <f>1000000</f>
        <v>1000000</v>
      </c>
      <c r="I512" s="280">
        <f t="shared" si="74"/>
        <v>1050000</v>
      </c>
      <c r="J512" s="280">
        <f t="shared" si="73"/>
        <v>1102500</v>
      </c>
    </row>
    <row r="513" ht="42" spans="1:10">
      <c r="A513" s="286"/>
      <c r="B513" s="319"/>
      <c r="C513" s="319"/>
      <c r="D513" s="320" t="s">
        <v>390</v>
      </c>
      <c r="E513" s="322">
        <f>500000</f>
        <v>500000</v>
      </c>
      <c r="F513" s="279">
        <v>-100000</v>
      </c>
      <c r="G513" s="273">
        <f t="shared" si="78"/>
        <v>400000</v>
      </c>
      <c r="H513" s="281">
        <v>420000</v>
      </c>
      <c r="I513" s="280">
        <f t="shared" si="74"/>
        <v>441000</v>
      </c>
      <c r="J513" s="280">
        <f t="shared" si="73"/>
        <v>463050</v>
      </c>
    </row>
    <row r="514" spans="1:10">
      <c r="A514" s="286"/>
      <c r="B514" s="319"/>
      <c r="C514" s="319"/>
      <c r="D514" s="320" t="s">
        <v>89</v>
      </c>
      <c r="E514" s="322">
        <f>1100000</f>
        <v>1100000</v>
      </c>
      <c r="F514" s="279"/>
      <c r="G514" s="273">
        <f t="shared" si="78"/>
        <v>1100000</v>
      </c>
      <c r="H514" s="281">
        <v>1155000</v>
      </c>
      <c r="I514" s="280">
        <f t="shared" si="74"/>
        <v>1212750</v>
      </c>
      <c r="J514" s="280">
        <f t="shared" si="73"/>
        <v>1273387.5</v>
      </c>
    </row>
    <row r="515" spans="1:10">
      <c r="A515" s="286"/>
      <c r="B515" s="319"/>
      <c r="C515" s="319"/>
      <c r="D515" s="320" t="s">
        <v>171</v>
      </c>
      <c r="E515" s="322">
        <f>1100000</f>
        <v>1100000</v>
      </c>
      <c r="F515" s="279"/>
      <c r="G515" s="273">
        <f t="shared" si="78"/>
        <v>1100000</v>
      </c>
      <c r="H515" s="281">
        <v>1155000</v>
      </c>
      <c r="I515" s="280">
        <f t="shared" si="74"/>
        <v>1212750</v>
      </c>
      <c r="J515" s="280">
        <f t="shared" si="73"/>
        <v>1273387.5</v>
      </c>
    </row>
    <row r="516" spans="1:10">
      <c r="A516" s="286"/>
      <c r="B516" s="319"/>
      <c r="C516" s="319"/>
      <c r="D516" s="320" t="s">
        <v>391</v>
      </c>
      <c r="E516" s="322"/>
      <c r="F516" s="279"/>
      <c r="G516" s="273">
        <f t="shared" si="78"/>
        <v>0</v>
      </c>
      <c r="H516" s="281">
        <v>0</v>
      </c>
      <c r="I516" s="280">
        <f t="shared" si="74"/>
        <v>0</v>
      </c>
      <c r="J516" s="280">
        <f t="shared" si="73"/>
        <v>0</v>
      </c>
    </row>
    <row r="517" ht="23.25" customHeight="1" spans="1:10">
      <c r="A517" s="286"/>
      <c r="B517" s="319"/>
      <c r="C517" s="319"/>
      <c r="D517" s="320" t="s">
        <v>84</v>
      </c>
      <c r="E517" s="322">
        <f>570000</f>
        <v>570000</v>
      </c>
      <c r="F517" s="279"/>
      <c r="G517" s="273">
        <f t="shared" si="78"/>
        <v>570000</v>
      </c>
      <c r="H517" s="281">
        <v>598500</v>
      </c>
      <c r="I517" s="280">
        <f t="shared" si="74"/>
        <v>628425</v>
      </c>
      <c r="J517" s="280">
        <f t="shared" si="73"/>
        <v>659846.25</v>
      </c>
    </row>
    <row r="518" spans="1:10">
      <c r="A518" s="286"/>
      <c r="B518" s="319"/>
      <c r="C518" s="319"/>
      <c r="D518" s="320" t="s">
        <v>271</v>
      </c>
      <c r="E518" s="322">
        <f>1100000</f>
        <v>1100000</v>
      </c>
      <c r="F518" s="279">
        <v>-450000</v>
      </c>
      <c r="G518" s="273">
        <f t="shared" si="78"/>
        <v>650000</v>
      </c>
      <c r="H518" s="281">
        <v>682500</v>
      </c>
      <c r="I518" s="280">
        <f t="shared" si="74"/>
        <v>716625</v>
      </c>
      <c r="J518" s="280">
        <f t="shared" si="73"/>
        <v>752456.25</v>
      </c>
    </row>
    <row r="519" spans="1:10">
      <c r="A519" s="286"/>
      <c r="B519" s="266" t="s">
        <v>392</v>
      </c>
      <c r="C519" s="266"/>
      <c r="D519" s="320" t="s">
        <v>393</v>
      </c>
      <c r="E519" s="322"/>
      <c r="F519" s="279"/>
      <c r="G519" s="273">
        <f t="shared" si="78"/>
        <v>0</v>
      </c>
      <c r="H519" s="281">
        <v>0</v>
      </c>
      <c r="I519" s="280">
        <f t="shared" si="74"/>
        <v>0</v>
      </c>
      <c r="J519" s="280">
        <f t="shared" si="73"/>
        <v>0</v>
      </c>
    </row>
    <row r="520" spans="1:10">
      <c r="A520" s="286"/>
      <c r="B520" s="266"/>
      <c r="C520" s="266"/>
      <c r="D520" s="320" t="s">
        <v>394</v>
      </c>
      <c r="E520" s="322">
        <f>770000</f>
        <v>770000</v>
      </c>
      <c r="F520" s="279"/>
      <c r="G520" s="273">
        <f t="shared" si="78"/>
        <v>770000</v>
      </c>
      <c r="H520" s="281">
        <v>808500</v>
      </c>
      <c r="I520" s="280">
        <f t="shared" si="74"/>
        <v>848925</v>
      </c>
      <c r="J520" s="280">
        <f t="shared" si="73"/>
        <v>891371.25</v>
      </c>
    </row>
    <row r="521" spans="1:10">
      <c r="A521" s="286"/>
      <c r="B521" s="266"/>
      <c r="C521" s="266"/>
      <c r="D521" s="320" t="s">
        <v>395</v>
      </c>
      <c r="E521" s="322">
        <f>300000</f>
        <v>300000</v>
      </c>
      <c r="F521" s="279"/>
      <c r="G521" s="273">
        <f t="shared" si="78"/>
        <v>300000</v>
      </c>
      <c r="H521" s="281">
        <v>315000</v>
      </c>
      <c r="I521" s="280">
        <f t="shared" si="74"/>
        <v>330750</v>
      </c>
      <c r="J521" s="280">
        <f t="shared" si="73"/>
        <v>347287.5</v>
      </c>
    </row>
    <row r="522" spans="1:10">
      <c r="A522" s="286"/>
      <c r="B522" s="266"/>
      <c r="C522" s="266"/>
      <c r="D522" s="320" t="s">
        <v>396</v>
      </c>
      <c r="E522" s="322">
        <f>1000000</f>
        <v>1000000</v>
      </c>
      <c r="F522" s="279"/>
      <c r="G522" s="273">
        <f t="shared" si="78"/>
        <v>1000000</v>
      </c>
      <c r="H522" s="281"/>
      <c r="I522" s="280">
        <f t="shared" si="74"/>
        <v>0</v>
      </c>
      <c r="J522" s="280">
        <f t="shared" si="73"/>
        <v>0</v>
      </c>
    </row>
    <row r="523" spans="1:10">
      <c r="A523" s="309"/>
      <c r="B523" s="309"/>
      <c r="C523" s="309"/>
      <c r="D523" s="309" t="s">
        <v>162</v>
      </c>
      <c r="E523" s="346">
        <f t="shared" ref="E523" si="79">SUM(E507:E522)</f>
        <v>35115881</v>
      </c>
      <c r="F523" s="347">
        <f t="shared" ref="F523:J523" si="80">SUM(F507:F522)</f>
        <v>-550000</v>
      </c>
      <c r="G523" s="348">
        <f t="shared" si="80"/>
        <v>34565881</v>
      </c>
      <c r="H523" s="348">
        <f t="shared" si="80"/>
        <v>28844175</v>
      </c>
      <c r="I523" s="348">
        <f t="shared" si="80"/>
        <v>30286383.75</v>
      </c>
      <c r="J523" s="346">
        <f t="shared" si="80"/>
        <v>31800702.9375</v>
      </c>
    </row>
    <row r="524" ht="12.75" customHeight="1" spans="1:10">
      <c r="A524" s="314"/>
      <c r="B524" s="315"/>
      <c r="C524" s="315"/>
      <c r="D524" s="315"/>
      <c r="E524" s="315"/>
      <c r="F524" s="279"/>
      <c r="G524" s="280"/>
      <c r="H524" s="281"/>
      <c r="I524" s="280"/>
      <c r="J524" s="280"/>
    </row>
    <row r="525" spans="1:10">
      <c r="A525" s="337" t="s">
        <v>397</v>
      </c>
      <c r="B525" s="317" t="s">
        <v>398</v>
      </c>
      <c r="C525" s="317"/>
      <c r="D525" s="317"/>
      <c r="E525" s="317"/>
      <c r="F525" s="317"/>
      <c r="G525" s="317"/>
      <c r="H525" s="318"/>
      <c r="I525" s="324"/>
      <c r="J525" s="324"/>
    </row>
    <row r="526" spans="1:12">
      <c r="A526" s="286"/>
      <c r="B526" s="319" t="s">
        <v>303</v>
      </c>
      <c r="C526" s="319"/>
      <c r="D526" s="320" t="s">
        <v>166</v>
      </c>
      <c r="E526" s="322">
        <v>46949737</v>
      </c>
      <c r="F526" s="279"/>
      <c r="G526" s="273">
        <f t="shared" ref="G526:G571" si="81">E526+F526</f>
        <v>46949737</v>
      </c>
      <c r="H526" s="281">
        <v>49297223</v>
      </c>
      <c r="I526" s="280">
        <f t="shared" si="74"/>
        <v>51762084.15</v>
      </c>
      <c r="J526" s="280">
        <f t="shared" ref="J526:J589" si="82">I526*1.05</f>
        <v>54350188.3575</v>
      </c>
      <c r="K526" s="304">
        <v>49297223</v>
      </c>
      <c r="L526" s="305">
        <f>H526-K526</f>
        <v>0</v>
      </c>
    </row>
    <row r="527" spans="1:12">
      <c r="A527" s="286"/>
      <c r="B527" s="319"/>
      <c r="C527" s="319"/>
      <c r="D527" s="320" t="s">
        <v>166</v>
      </c>
      <c r="E527" s="322"/>
      <c r="F527" s="279"/>
      <c r="G527" s="273">
        <f t="shared" si="81"/>
        <v>0</v>
      </c>
      <c r="H527" s="281">
        <v>0</v>
      </c>
      <c r="I527" s="280">
        <f t="shared" si="74"/>
        <v>0</v>
      </c>
      <c r="J527" s="280">
        <f t="shared" si="82"/>
        <v>0</v>
      </c>
      <c r="K527" s="304">
        <v>0</v>
      </c>
      <c r="L527" s="305">
        <f t="shared" ref="L527:L572" si="83">H527-K527</f>
        <v>0</v>
      </c>
    </row>
    <row r="528" spans="1:12">
      <c r="A528" s="286"/>
      <c r="B528" s="319"/>
      <c r="C528" s="319"/>
      <c r="D528" s="320" t="s">
        <v>167</v>
      </c>
      <c r="E528" s="322"/>
      <c r="F528" s="279"/>
      <c r="G528" s="273">
        <f t="shared" si="81"/>
        <v>0</v>
      </c>
      <c r="H528" s="281">
        <v>0</v>
      </c>
      <c r="I528" s="280">
        <f t="shared" si="74"/>
        <v>0</v>
      </c>
      <c r="J528" s="280">
        <f t="shared" si="82"/>
        <v>0</v>
      </c>
      <c r="K528" s="304">
        <v>0</v>
      </c>
      <c r="L528" s="305">
        <f t="shared" si="83"/>
        <v>0</v>
      </c>
    </row>
    <row r="529" spans="1:12">
      <c r="A529" s="286"/>
      <c r="B529" s="319"/>
      <c r="C529" s="319"/>
      <c r="D529" s="320" t="s">
        <v>220</v>
      </c>
      <c r="E529" s="322"/>
      <c r="F529" s="279"/>
      <c r="G529" s="273">
        <f t="shared" si="81"/>
        <v>0</v>
      </c>
      <c r="H529" s="281">
        <v>0</v>
      </c>
      <c r="I529" s="280">
        <f t="shared" si="74"/>
        <v>0</v>
      </c>
      <c r="J529" s="280">
        <f t="shared" si="82"/>
        <v>0</v>
      </c>
      <c r="K529" s="304">
        <v>0</v>
      </c>
      <c r="L529" s="305">
        <f t="shared" si="83"/>
        <v>0</v>
      </c>
    </row>
    <row r="530" spans="1:12">
      <c r="A530" s="286"/>
      <c r="B530" s="319"/>
      <c r="C530" s="319"/>
      <c r="D530" s="320" t="s">
        <v>168</v>
      </c>
      <c r="E530" s="322"/>
      <c r="F530" s="279"/>
      <c r="G530" s="273">
        <f t="shared" si="81"/>
        <v>0</v>
      </c>
      <c r="H530" s="281">
        <v>0</v>
      </c>
      <c r="I530" s="280">
        <f t="shared" si="74"/>
        <v>0</v>
      </c>
      <c r="J530" s="280">
        <f t="shared" si="82"/>
        <v>0</v>
      </c>
      <c r="K530" s="304">
        <v>0</v>
      </c>
      <c r="L530" s="305">
        <f t="shared" si="83"/>
        <v>0</v>
      </c>
    </row>
    <row r="531" spans="1:12">
      <c r="A531" s="286"/>
      <c r="B531" s="319"/>
      <c r="C531" s="319"/>
      <c r="D531" s="320" t="s">
        <v>364</v>
      </c>
      <c r="E531" s="322"/>
      <c r="F531" s="279"/>
      <c r="G531" s="273">
        <f t="shared" si="81"/>
        <v>0</v>
      </c>
      <c r="H531" s="281">
        <v>0</v>
      </c>
      <c r="I531" s="280">
        <f t="shared" si="74"/>
        <v>0</v>
      </c>
      <c r="J531" s="280">
        <f t="shared" si="82"/>
        <v>0</v>
      </c>
      <c r="K531" s="304">
        <v>0</v>
      </c>
      <c r="L531" s="305">
        <f t="shared" si="83"/>
        <v>0</v>
      </c>
    </row>
    <row r="532" spans="1:12">
      <c r="A532" s="286"/>
      <c r="B532" s="319"/>
      <c r="C532" s="319"/>
      <c r="D532" s="320" t="s">
        <v>85</v>
      </c>
      <c r="E532" s="322">
        <f>500000</f>
        <v>500000</v>
      </c>
      <c r="F532" s="279"/>
      <c r="G532" s="273">
        <f t="shared" si="81"/>
        <v>500000</v>
      </c>
      <c r="H532" s="281">
        <v>525000</v>
      </c>
      <c r="I532" s="280">
        <f t="shared" si="74"/>
        <v>551250</v>
      </c>
      <c r="J532" s="280">
        <f t="shared" si="82"/>
        <v>578812.5</v>
      </c>
      <c r="K532" s="304">
        <v>525000</v>
      </c>
      <c r="L532" s="305">
        <f t="shared" si="83"/>
        <v>0</v>
      </c>
    </row>
    <row r="533" spans="1:12">
      <c r="A533" s="286"/>
      <c r="B533" s="319"/>
      <c r="C533" s="319"/>
      <c r="D533" s="320" t="s">
        <v>399</v>
      </c>
      <c r="E533" s="322"/>
      <c r="F533" s="279">
        <v>200000</v>
      </c>
      <c r="G533" s="273">
        <f t="shared" si="81"/>
        <v>200000</v>
      </c>
      <c r="H533" s="281">
        <v>210000</v>
      </c>
      <c r="I533" s="280">
        <f t="shared" si="74"/>
        <v>220500</v>
      </c>
      <c r="J533" s="280">
        <f t="shared" si="82"/>
        <v>231525</v>
      </c>
      <c r="K533" s="304">
        <v>210000</v>
      </c>
      <c r="L533" s="305">
        <f t="shared" si="83"/>
        <v>0</v>
      </c>
    </row>
    <row r="534" spans="1:12">
      <c r="A534" s="286"/>
      <c r="B534" s="319"/>
      <c r="C534" s="319"/>
      <c r="D534" s="320" t="s">
        <v>86</v>
      </c>
      <c r="E534" s="322"/>
      <c r="F534" s="279"/>
      <c r="G534" s="273">
        <f t="shared" si="81"/>
        <v>0</v>
      </c>
      <c r="H534" s="281">
        <v>0</v>
      </c>
      <c r="I534" s="280">
        <f t="shared" ref="I534:I597" si="84">H534*1.05</f>
        <v>0</v>
      </c>
      <c r="J534" s="280">
        <f t="shared" si="82"/>
        <v>0</v>
      </c>
      <c r="K534" s="304">
        <v>0</v>
      </c>
      <c r="L534" s="305">
        <f t="shared" si="83"/>
        <v>0</v>
      </c>
    </row>
    <row r="535" spans="1:12">
      <c r="A535" s="286"/>
      <c r="B535" s="319"/>
      <c r="C535" s="319"/>
      <c r="D535" s="320" t="s">
        <v>87</v>
      </c>
      <c r="E535" s="322">
        <f>300000</f>
        <v>300000</v>
      </c>
      <c r="F535" s="279"/>
      <c r="G535" s="273">
        <f t="shared" si="81"/>
        <v>300000</v>
      </c>
      <c r="H535" s="281">
        <v>315000</v>
      </c>
      <c r="I535" s="280">
        <f t="shared" si="84"/>
        <v>330750</v>
      </c>
      <c r="J535" s="280">
        <f t="shared" si="82"/>
        <v>347287.5</v>
      </c>
      <c r="K535" s="304">
        <v>315000</v>
      </c>
      <c r="L535" s="305">
        <f t="shared" si="83"/>
        <v>0</v>
      </c>
    </row>
    <row r="536" spans="1:12">
      <c r="A536" s="286"/>
      <c r="B536" s="319"/>
      <c r="C536" s="319"/>
      <c r="D536" s="320" t="s">
        <v>228</v>
      </c>
      <c r="E536" s="322">
        <f>110000</f>
        <v>110000</v>
      </c>
      <c r="F536" s="279"/>
      <c r="G536" s="273">
        <f t="shared" si="81"/>
        <v>110000</v>
      </c>
      <c r="H536" s="281">
        <v>115500</v>
      </c>
      <c r="I536" s="280">
        <f t="shared" si="84"/>
        <v>121275</v>
      </c>
      <c r="J536" s="280">
        <f t="shared" si="82"/>
        <v>127338.75</v>
      </c>
      <c r="K536" s="304">
        <v>115500</v>
      </c>
      <c r="L536" s="305">
        <f t="shared" si="83"/>
        <v>0</v>
      </c>
    </row>
    <row r="537" spans="1:12">
      <c r="A537" s="286"/>
      <c r="B537" s="319"/>
      <c r="C537" s="319"/>
      <c r="D537" s="320" t="s">
        <v>89</v>
      </c>
      <c r="E537" s="322">
        <f>1000000</f>
        <v>1000000</v>
      </c>
      <c r="F537" s="279"/>
      <c r="G537" s="273">
        <f t="shared" si="81"/>
        <v>1000000</v>
      </c>
      <c r="H537" s="281">
        <v>1050000</v>
      </c>
      <c r="I537" s="280">
        <f t="shared" si="84"/>
        <v>1102500</v>
      </c>
      <c r="J537" s="280">
        <f t="shared" si="82"/>
        <v>1157625</v>
      </c>
      <c r="K537" s="304">
        <v>1050000</v>
      </c>
      <c r="L537" s="305">
        <f t="shared" si="83"/>
        <v>0</v>
      </c>
    </row>
    <row r="538" spans="1:12">
      <c r="A538" s="286"/>
      <c r="B538" s="319"/>
      <c r="C538" s="319"/>
      <c r="D538" s="320" t="s">
        <v>170</v>
      </c>
      <c r="E538" s="322"/>
      <c r="F538" s="279"/>
      <c r="G538" s="273">
        <f t="shared" si="81"/>
        <v>0</v>
      </c>
      <c r="H538" s="281">
        <v>0</v>
      </c>
      <c r="I538" s="280">
        <f t="shared" si="84"/>
        <v>0</v>
      </c>
      <c r="J538" s="280">
        <f t="shared" si="82"/>
        <v>0</v>
      </c>
      <c r="K538" s="304">
        <v>0</v>
      </c>
      <c r="L538" s="305">
        <f t="shared" si="83"/>
        <v>0</v>
      </c>
    </row>
    <row r="539" spans="1:12">
      <c r="A539" s="286"/>
      <c r="B539" s="319"/>
      <c r="C539" s="319"/>
      <c r="D539" s="320" t="s">
        <v>341</v>
      </c>
      <c r="E539" s="322">
        <f>100000</f>
        <v>100000</v>
      </c>
      <c r="F539" s="279"/>
      <c r="G539" s="273">
        <f t="shared" si="81"/>
        <v>100000</v>
      </c>
      <c r="H539" s="281">
        <v>105000</v>
      </c>
      <c r="I539" s="280">
        <f t="shared" si="84"/>
        <v>110250</v>
      </c>
      <c r="J539" s="280">
        <f t="shared" si="82"/>
        <v>115762.5</v>
      </c>
      <c r="K539" s="304">
        <v>105000</v>
      </c>
      <c r="L539" s="305">
        <f t="shared" si="83"/>
        <v>0</v>
      </c>
    </row>
    <row r="540" spans="1:12">
      <c r="A540" s="286"/>
      <c r="B540" s="319"/>
      <c r="C540" s="319"/>
      <c r="D540" s="320" t="s">
        <v>171</v>
      </c>
      <c r="E540" s="322">
        <f>120000</f>
        <v>120000</v>
      </c>
      <c r="F540" s="279"/>
      <c r="G540" s="273">
        <f t="shared" si="81"/>
        <v>120000</v>
      </c>
      <c r="H540" s="281">
        <v>126000</v>
      </c>
      <c r="I540" s="280">
        <f t="shared" si="84"/>
        <v>132300</v>
      </c>
      <c r="J540" s="280">
        <f t="shared" si="82"/>
        <v>138915</v>
      </c>
      <c r="K540" s="304">
        <v>126000</v>
      </c>
      <c r="L540" s="305">
        <f t="shared" si="83"/>
        <v>0</v>
      </c>
    </row>
    <row r="541" spans="1:12">
      <c r="A541" s="286"/>
      <c r="B541" s="319"/>
      <c r="C541" s="319"/>
      <c r="D541" s="320" t="s">
        <v>100</v>
      </c>
      <c r="E541" s="322">
        <f>550000</f>
        <v>550000</v>
      </c>
      <c r="F541" s="279"/>
      <c r="G541" s="273">
        <f t="shared" si="81"/>
        <v>550000</v>
      </c>
      <c r="H541" s="281">
        <v>577500</v>
      </c>
      <c r="I541" s="280">
        <f t="shared" si="84"/>
        <v>606375</v>
      </c>
      <c r="J541" s="280">
        <f t="shared" si="82"/>
        <v>636693.75</v>
      </c>
      <c r="K541" s="304">
        <v>577500</v>
      </c>
      <c r="L541" s="305">
        <f t="shared" si="83"/>
        <v>0</v>
      </c>
    </row>
    <row r="542" spans="1:12">
      <c r="A542" s="286"/>
      <c r="B542" s="319"/>
      <c r="C542" s="319"/>
      <c r="D542" s="320" t="s">
        <v>400</v>
      </c>
      <c r="E542" s="322"/>
      <c r="F542" s="279"/>
      <c r="G542" s="273">
        <f t="shared" si="81"/>
        <v>0</v>
      </c>
      <c r="H542" s="281">
        <v>0</v>
      </c>
      <c r="I542" s="280">
        <f t="shared" si="84"/>
        <v>0</v>
      </c>
      <c r="J542" s="280">
        <f t="shared" si="82"/>
        <v>0</v>
      </c>
      <c r="K542" s="304">
        <v>0</v>
      </c>
      <c r="L542" s="305">
        <f t="shared" si="83"/>
        <v>0</v>
      </c>
    </row>
    <row r="543" spans="1:12">
      <c r="A543" s="286"/>
      <c r="B543" s="319" t="s">
        <v>401</v>
      </c>
      <c r="C543" s="319"/>
      <c r="D543" s="320" t="s">
        <v>85</v>
      </c>
      <c r="E543" s="322"/>
      <c r="F543" s="279"/>
      <c r="G543" s="273">
        <f t="shared" si="81"/>
        <v>0</v>
      </c>
      <c r="H543" s="281">
        <v>300000</v>
      </c>
      <c r="I543" s="280">
        <f t="shared" si="84"/>
        <v>315000</v>
      </c>
      <c r="J543" s="280">
        <f t="shared" si="82"/>
        <v>330750</v>
      </c>
      <c r="K543" s="304">
        <v>300000</v>
      </c>
      <c r="L543" s="305">
        <f t="shared" si="83"/>
        <v>0</v>
      </c>
    </row>
    <row r="544" spans="1:12">
      <c r="A544" s="286"/>
      <c r="B544" s="319"/>
      <c r="C544" s="319"/>
      <c r="D544" s="320" t="s">
        <v>228</v>
      </c>
      <c r="E544" s="322"/>
      <c r="F544" s="279"/>
      <c r="G544" s="273">
        <f t="shared" si="81"/>
        <v>0</v>
      </c>
      <c r="H544" s="281">
        <v>0</v>
      </c>
      <c r="I544" s="280">
        <f t="shared" si="84"/>
        <v>0</v>
      </c>
      <c r="J544" s="280">
        <f t="shared" si="82"/>
        <v>0</v>
      </c>
      <c r="K544" s="304">
        <v>0</v>
      </c>
      <c r="L544" s="305">
        <f t="shared" si="83"/>
        <v>0</v>
      </c>
    </row>
    <row r="545" spans="1:12">
      <c r="A545" s="286"/>
      <c r="B545" s="319"/>
      <c r="C545" s="319"/>
      <c r="D545" s="320" t="s">
        <v>145</v>
      </c>
      <c r="E545" s="322">
        <f>600000</f>
        <v>600000</v>
      </c>
      <c r="F545" s="279"/>
      <c r="G545" s="273">
        <f t="shared" si="81"/>
        <v>600000</v>
      </c>
      <c r="H545" s="281">
        <v>630000</v>
      </c>
      <c r="I545" s="280">
        <f t="shared" si="84"/>
        <v>661500</v>
      </c>
      <c r="J545" s="280">
        <f t="shared" si="82"/>
        <v>694575</v>
      </c>
      <c r="K545" s="304">
        <v>630000</v>
      </c>
      <c r="L545" s="305">
        <f t="shared" si="83"/>
        <v>0</v>
      </c>
    </row>
    <row r="546" spans="1:12">
      <c r="A546" s="286"/>
      <c r="B546" s="319"/>
      <c r="C546" s="319"/>
      <c r="D546" s="320" t="s">
        <v>171</v>
      </c>
      <c r="E546" s="322">
        <f>100000</f>
        <v>100000</v>
      </c>
      <c r="F546" s="279"/>
      <c r="G546" s="273">
        <f t="shared" si="81"/>
        <v>100000</v>
      </c>
      <c r="H546" s="281">
        <v>105000</v>
      </c>
      <c r="I546" s="280">
        <f t="shared" si="84"/>
        <v>110250</v>
      </c>
      <c r="J546" s="280">
        <f t="shared" si="82"/>
        <v>115762.5</v>
      </c>
      <c r="K546" s="304">
        <v>105000</v>
      </c>
      <c r="L546" s="305">
        <f t="shared" si="83"/>
        <v>0</v>
      </c>
    </row>
    <row r="547" spans="1:12">
      <c r="A547" s="286"/>
      <c r="B547" s="319"/>
      <c r="C547" s="319"/>
      <c r="D547" s="320" t="s">
        <v>402</v>
      </c>
      <c r="E547" s="322">
        <f>6000000</f>
        <v>6000000</v>
      </c>
      <c r="F547" s="279"/>
      <c r="G547" s="273">
        <f t="shared" si="81"/>
        <v>6000000</v>
      </c>
      <c r="H547" s="281">
        <v>5000000</v>
      </c>
      <c r="I547" s="280">
        <f t="shared" si="84"/>
        <v>5250000</v>
      </c>
      <c r="J547" s="280">
        <f t="shared" si="82"/>
        <v>5512500</v>
      </c>
      <c r="K547" s="304">
        <v>5000000</v>
      </c>
      <c r="L547" s="305">
        <f t="shared" si="83"/>
        <v>0</v>
      </c>
    </row>
    <row r="548" spans="1:12">
      <c r="A548" s="286"/>
      <c r="B548" s="319" t="s">
        <v>403</v>
      </c>
      <c r="C548" s="319"/>
      <c r="D548" s="320" t="s">
        <v>284</v>
      </c>
      <c r="E548" s="322"/>
      <c r="F548" s="279"/>
      <c r="G548" s="273">
        <f t="shared" si="81"/>
        <v>0</v>
      </c>
      <c r="H548" s="281">
        <v>0</v>
      </c>
      <c r="I548" s="280">
        <f t="shared" si="84"/>
        <v>0</v>
      </c>
      <c r="J548" s="280">
        <f t="shared" si="82"/>
        <v>0</v>
      </c>
      <c r="K548" s="304">
        <v>0</v>
      </c>
      <c r="L548" s="305">
        <f t="shared" si="83"/>
        <v>0</v>
      </c>
    </row>
    <row r="549" spans="1:12">
      <c r="A549" s="286"/>
      <c r="B549" s="319"/>
      <c r="C549" s="319"/>
      <c r="D549" s="320" t="s">
        <v>181</v>
      </c>
      <c r="E549" s="322">
        <f>2000000</f>
        <v>2000000</v>
      </c>
      <c r="F549" s="279"/>
      <c r="G549" s="273">
        <f t="shared" si="81"/>
        <v>2000000</v>
      </c>
      <c r="H549" s="281">
        <f>1000000</f>
        <v>1000000</v>
      </c>
      <c r="I549" s="280">
        <f t="shared" si="84"/>
        <v>1050000</v>
      </c>
      <c r="J549" s="280">
        <f t="shared" si="82"/>
        <v>1102500</v>
      </c>
      <c r="K549" s="304">
        <v>1000000</v>
      </c>
      <c r="L549" s="305">
        <f t="shared" si="83"/>
        <v>0</v>
      </c>
    </row>
    <row r="550" spans="1:12">
      <c r="A550" s="286"/>
      <c r="B550" s="319"/>
      <c r="C550" s="319"/>
      <c r="D550" s="320" t="s">
        <v>404</v>
      </c>
      <c r="E550" s="322">
        <f>1000000</f>
        <v>1000000</v>
      </c>
      <c r="F550" s="279"/>
      <c r="G550" s="273">
        <f t="shared" si="81"/>
        <v>1000000</v>
      </c>
      <c r="H550" s="281">
        <v>1050000</v>
      </c>
      <c r="I550" s="280">
        <f t="shared" si="84"/>
        <v>1102500</v>
      </c>
      <c r="J550" s="280">
        <f t="shared" si="82"/>
        <v>1157625</v>
      </c>
      <c r="K550" s="304">
        <v>1050000</v>
      </c>
      <c r="L550" s="305">
        <f t="shared" si="83"/>
        <v>0</v>
      </c>
    </row>
    <row r="551" spans="1:12">
      <c r="A551" s="286"/>
      <c r="B551" s="319"/>
      <c r="C551" s="319"/>
      <c r="D551" s="320" t="s">
        <v>405</v>
      </c>
      <c r="E551" s="322">
        <f>1500000</f>
        <v>1500000</v>
      </c>
      <c r="F551" s="279">
        <v>0</v>
      </c>
      <c r="G551" s="273">
        <f t="shared" si="81"/>
        <v>1500000</v>
      </c>
      <c r="H551" s="281">
        <v>1575000</v>
      </c>
      <c r="I551" s="280">
        <f t="shared" si="84"/>
        <v>1653750</v>
      </c>
      <c r="J551" s="280">
        <f t="shared" si="82"/>
        <v>1736437.5</v>
      </c>
      <c r="K551" s="304">
        <v>1575000</v>
      </c>
      <c r="L551" s="305">
        <f t="shared" si="83"/>
        <v>0</v>
      </c>
    </row>
    <row r="552" spans="1:12">
      <c r="A552" s="286"/>
      <c r="B552" s="319"/>
      <c r="C552" s="319"/>
      <c r="D552" s="320" t="s">
        <v>406</v>
      </c>
      <c r="E552" s="322">
        <f>1000000</f>
        <v>1000000</v>
      </c>
      <c r="F552" s="279"/>
      <c r="G552" s="273">
        <f t="shared" si="81"/>
        <v>1000000</v>
      </c>
      <c r="H552" s="281">
        <v>1050000</v>
      </c>
      <c r="I552" s="280">
        <f t="shared" si="84"/>
        <v>1102500</v>
      </c>
      <c r="J552" s="280">
        <f t="shared" si="82"/>
        <v>1157625</v>
      </c>
      <c r="K552" s="304">
        <v>1050000</v>
      </c>
      <c r="L552" s="305">
        <f t="shared" si="83"/>
        <v>0</v>
      </c>
    </row>
    <row r="553" spans="1:12">
      <c r="A553" s="286"/>
      <c r="B553" s="319" t="s">
        <v>407</v>
      </c>
      <c r="C553" s="319"/>
      <c r="D553" s="320" t="s">
        <v>167</v>
      </c>
      <c r="E553" s="322"/>
      <c r="F553" s="279"/>
      <c r="G553" s="273">
        <f t="shared" si="81"/>
        <v>0</v>
      </c>
      <c r="H553" s="281">
        <v>0</v>
      </c>
      <c r="I553" s="280">
        <f t="shared" si="84"/>
        <v>0</v>
      </c>
      <c r="J553" s="280">
        <f t="shared" si="82"/>
        <v>0</v>
      </c>
      <c r="K553" s="304">
        <v>0</v>
      </c>
      <c r="L553" s="305">
        <f t="shared" si="83"/>
        <v>0</v>
      </c>
    </row>
    <row r="554" spans="1:12">
      <c r="A554" s="286"/>
      <c r="B554" s="319"/>
      <c r="C554" s="319"/>
      <c r="D554" s="320" t="s">
        <v>168</v>
      </c>
      <c r="E554" s="322"/>
      <c r="F554" s="279"/>
      <c r="G554" s="273">
        <f t="shared" si="81"/>
        <v>0</v>
      </c>
      <c r="H554" s="281">
        <v>0</v>
      </c>
      <c r="I554" s="280">
        <f t="shared" si="84"/>
        <v>0</v>
      </c>
      <c r="J554" s="280">
        <f t="shared" si="82"/>
        <v>0</v>
      </c>
      <c r="K554" s="304">
        <v>0</v>
      </c>
      <c r="L554" s="305">
        <f t="shared" si="83"/>
        <v>0</v>
      </c>
    </row>
    <row r="555" spans="1:12">
      <c r="A555" s="286"/>
      <c r="B555" s="319"/>
      <c r="C555" s="319"/>
      <c r="D555" s="320" t="s">
        <v>85</v>
      </c>
      <c r="E555" s="322">
        <f>2000000</f>
        <v>2000000</v>
      </c>
      <c r="F555" s="279"/>
      <c r="G555" s="273">
        <f t="shared" si="81"/>
        <v>2000000</v>
      </c>
      <c r="H555" s="281">
        <f>1000000</f>
        <v>1000000</v>
      </c>
      <c r="I555" s="280">
        <f t="shared" si="84"/>
        <v>1050000</v>
      </c>
      <c r="J555" s="280">
        <f t="shared" si="82"/>
        <v>1102500</v>
      </c>
      <c r="K555" s="304">
        <v>1000000</v>
      </c>
      <c r="L555" s="305">
        <f t="shared" si="83"/>
        <v>0</v>
      </c>
    </row>
    <row r="556" spans="1:12">
      <c r="A556" s="286"/>
      <c r="B556" s="319"/>
      <c r="C556" s="319"/>
      <c r="D556" s="320" t="s">
        <v>87</v>
      </c>
      <c r="E556" s="322">
        <f>100000</f>
        <v>100000</v>
      </c>
      <c r="F556" s="279"/>
      <c r="G556" s="273">
        <f t="shared" si="81"/>
        <v>100000</v>
      </c>
      <c r="H556" s="281">
        <v>105000</v>
      </c>
      <c r="I556" s="280">
        <f t="shared" si="84"/>
        <v>110250</v>
      </c>
      <c r="J556" s="280">
        <f t="shared" si="82"/>
        <v>115762.5</v>
      </c>
      <c r="K556" s="304">
        <v>105000</v>
      </c>
      <c r="L556" s="305">
        <f t="shared" si="83"/>
        <v>0</v>
      </c>
    </row>
    <row r="557" spans="1:12">
      <c r="A557" s="286"/>
      <c r="B557" s="319"/>
      <c r="C557" s="319"/>
      <c r="D557" s="320" t="s">
        <v>228</v>
      </c>
      <c r="E557" s="322">
        <f>150000</f>
        <v>150000</v>
      </c>
      <c r="F557" s="279"/>
      <c r="G557" s="273">
        <f t="shared" si="81"/>
        <v>150000</v>
      </c>
      <c r="H557" s="281">
        <v>157500</v>
      </c>
      <c r="I557" s="280">
        <f t="shared" si="84"/>
        <v>165375</v>
      </c>
      <c r="J557" s="280">
        <f t="shared" si="82"/>
        <v>173643.75</v>
      </c>
      <c r="K557" s="304">
        <v>157500</v>
      </c>
      <c r="L557" s="305">
        <f t="shared" si="83"/>
        <v>0</v>
      </c>
    </row>
    <row r="558" ht="42" spans="1:12">
      <c r="A558" s="286"/>
      <c r="B558" s="319"/>
      <c r="C558" s="319"/>
      <c r="D558" s="320" t="s">
        <v>221</v>
      </c>
      <c r="E558" s="322"/>
      <c r="F558" s="279"/>
      <c r="G558" s="273">
        <f t="shared" si="81"/>
        <v>0</v>
      </c>
      <c r="H558" s="281">
        <v>0</v>
      </c>
      <c r="I558" s="280">
        <f t="shared" si="84"/>
        <v>0</v>
      </c>
      <c r="J558" s="280">
        <f t="shared" si="82"/>
        <v>0</v>
      </c>
      <c r="K558" s="304">
        <v>0</v>
      </c>
      <c r="L558" s="305">
        <f t="shared" si="83"/>
        <v>0</v>
      </c>
    </row>
    <row r="559" spans="1:12">
      <c r="A559" s="286"/>
      <c r="B559" s="319"/>
      <c r="C559" s="319"/>
      <c r="D559" s="320" t="s">
        <v>171</v>
      </c>
      <c r="E559" s="322">
        <f>200000</f>
        <v>200000</v>
      </c>
      <c r="F559" s="279"/>
      <c r="G559" s="273">
        <f t="shared" si="81"/>
        <v>200000</v>
      </c>
      <c r="H559" s="281">
        <v>210000</v>
      </c>
      <c r="I559" s="280">
        <f t="shared" si="84"/>
        <v>220500</v>
      </c>
      <c r="J559" s="280">
        <f t="shared" si="82"/>
        <v>231525</v>
      </c>
      <c r="K559" s="304">
        <v>210000</v>
      </c>
      <c r="L559" s="305">
        <f t="shared" si="83"/>
        <v>0</v>
      </c>
    </row>
    <row r="560" spans="1:12">
      <c r="A560" s="286"/>
      <c r="B560" s="319"/>
      <c r="C560" s="319"/>
      <c r="D560" s="320" t="s">
        <v>359</v>
      </c>
      <c r="E560" s="322">
        <f>1000000</f>
        <v>1000000</v>
      </c>
      <c r="F560" s="279">
        <v>5500000</v>
      </c>
      <c r="G560" s="273">
        <f t="shared" si="81"/>
        <v>6500000</v>
      </c>
      <c r="H560" s="281">
        <v>0</v>
      </c>
      <c r="I560" s="280">
        <f t="shared" si="84"/>
        <v>0</v>
      </c>
      <c r="J560" s="280">
        <f t="shared" si="82"/>
        <v>0</v>
      </c>
      <c r="K560" s="304">
        <v>0</v>
      </c>
      <c r="L560" s="305">
        <f t="shared" si="83"/>
        <v>0</v>
      </c>
    </row>
    <row r="561" spans="1:12">
      <c r="A561" s="286"/>
      <c r="B561" s="319"/>
      <c r="C561" s="319"/>
      <c r="D561" s="320" t="s">
        <v>100</v>
      </c>
      <c r="E561" s="322">
        <f>300000</f>
        <v>300000</v>
      </c>
      <c r="F561" s="279"/>
      <c r="G561" s="273">
        <f t="shared" si="81"/>
        <v>300000</v>
      </c>
      <c r="H561" s="281">
        <v>315000</v>
      </c>
      <c r="I561" s="280">
        <f t="shared" si="84"/>
        <v>330750</v>
      </c>
      <c r="J561" s="280">
        <f t="shared" si="82"/>
        <v>347287.5</v>
      </c>
      <c r="K561" s="304">
        <v>315000</v>
      </c>
      <c r="L561" s="305">
        <f t="shared" si="83"/>
        <v>0</v>
      </c>
    </row>
    <row r="562" spans="1:12">
      <c r="A562" s="286"/>
      <c r="B562" s="319"/>
      <c r="C562" s="319"/>
      <c r="D562" s="320" t="s">
        <v>408</v>
      </c>
      <c r="E562" s="322">
        <f>2200000</f>
        <v>2200000</v>
      </c>
      <c r="F562" s="279"/>
      <c r="G562" s="273">
        <f t="shared" si="81"/>
        <v>2200000</v>
      </c>
      <c r="H562" s="281">
        <v>2310000</v>
      </c>
      <c r="I562" s="280">
        <f t="shared" si="84"/>
        <v>2425500</v>
      </c>
      <c r="J562" s="280">
        <f t="shared" si="82"/>
        <v>2546775</v>
      </c>
      <c r="K562" s="304">
        <v>2310000</v>
      </c>
      <c r="L562" s="305">
        <f t="shared" si="83"/>
        <v>0</v>
      </c>
    </row>
    <row r="563" spans="1:12">
      <c r="A563" s="286"/>
      <c r="B563" s="319" t="s">
        <v>409</v>
      </c>
      <c r="C563" s="319"/>
      <c r="D563" s="320" t="s">
        <v>85</v>
      </c>
      <c r="E563" s="322">
        <f>20000000+2500000</f>
        <v>22500000</v>
      </c>
      <c r="F563" s="279"/>
      <c r="G563" s="273">
        <f t="shared" si="81"/>
        <v>22500000</v>
      </c>
      <c r="H563" s="281">
        <f>20000000</f>
        <v>20000000</v>
      </c>
      <c r="I563" s="280">
        <f t="shared" si="84"/>
        <v>21000000</v>
      </c>
      <c r="J563" s="280">
        <f t="shared" si="82"/>
        <v>22050000</v>
      </c>
      <c r="K563" s="304">
        <v>15000000</v>
      </c>
      <c r="L563" s="305">
        <f t="shared" si="83"/>
        <v>5000000</v>
      </c>
    </row>
    <row r="564" spans="1:12">
      <c r="A564" s="286"/>
      <c r="B564" s="319"/>
      <c r="C564" s="319"/>
      <c r="D564" s="320" t="s">
        <v>228</v>
      </c>
      <c r="E564" s="322">
        <f>300000</f>
        <v>300000</v>
      </c>
      <c r="F564" s="279"/>
      <c r="G564" s="273">
        <f t="shared" si="81"/>
        <v>300000</v>
      </c>
      <c r="H564" s="281">
        <v>315000</v>
      </c>
      <c r="I564" s="280">
        <f t="shared" si="84"/>
        <v>330750</v>
      </c>
      <c r="J564" s="280">
        <f t="shared" si="82"/>
        <v>347287.5</v>
      </c>
      <c r="K564" s="304">
        <v>315000</v>
      </c>
      <c r="L564" s="305">
        <f t="shared" si="83"/>
        <v>0</v>
      </c>
    </row>
    <row r="565" spans="1:12">
      <c r="A565" s="286"/>
      <c r="B565" s="319"/>
      <c r="C565" s="319"/>
      <c r="D565" s="320" t="s">
        <v>138</v>
      </c>
      <c r="E565" s="322">
        <f>1000000</f>
        <v>1000000</v>
      </c>
      <c r="F565" s="279"/>
      <c r="G565" s="273">
        <f t="shared" si="81"/>
        <v>1000000</v>
      </c>
      <c r="H565" s="281">
        <v>1050000</v>
      </c>
      <c r="I565" s="280">
        <f t="shared" si="84"/>
        <v>1102500</v>
      </c>
      <c r="J565" s="280">
        <f t="shared" si="82"/>
        <v>1157625</v>
      </c>
      <c r="K565" s="304">
        <v>1050000</v>
      </c>
      <c r="L565" s="305">
        <f t="shared" si="83"/>
        <v>0</v>
      </c>
    </row>
    <row r="566" spans="1:12">
      <c r="A566" s="286"/>
      <c r="B566" s="319"/>
      <c r="C566" s="319"/>
      <c r="D566" s="320" t="s">
        <v>145</v>
      </c>
      <c r="E566" s="322">
        <f>2500000</f>
        <v>2500000</v>
      </c>
      <c r="F566" s="279"/>
      <c r="G566" s="273">
        <f t="shared" si="81"/>
        <v>2500000</v>
      </c>
      <c r="H566" s="281">
        <v>2625000</v>
      </c>
      <c r="I566" s="280">
        <f t="shared" si="84"/>
        <v>2756250</v>
      </c>
      <c r="J566" s="280">
        <f t="shared" si="82"/>
        <v>2894062.5</v>
      </c>
      <c r="K566" s="304">
        <v>2625000</v>
      </c>
      <c r="L566" s="305">
        <f t="shared" si="83"/>
        <v>0</v>
      </c>
    </row>
    <row r="567" spans="1:12">
      <c r="A567" s="286"/>
      <c r="B567" s="319"/>
      <c r="C567" s="319"/>
      <c r="D567" s="320" t="s">
        <v>171</v>
      </c>
      <c r="E567" s="322">
        <f>100000</f>
        <v>100000</v>
      </c>
      <c r="F567" s="279"/>
      <c r="G567" s="273">
        <f t="shared" si="81"/>
        <v>100000</v>
      </c>
      <c r="H567" s="281">
        <v>105000</v>
      </c>
      <c r="I567" s="280">
        <f t="shared" si="84"/>
        <v>110250</v>
      </c>
      <c r="J567" s="280">
        <f t="shared" si="82"/>
        <v>115762.5</v>
      </c>
      <c r="K567" s="304">
        <v>105000</v>
      </c>
      <c r="L567" s="305">
        <f t="shared" si="83"/>
        <v>0</v>
      </c>
    </row>
    <row r="568" spans="1:12">
      <c r="A568" s="286"/>
      <c r="B568" s="319"/>
      <c r="C568" s="319"/>
      <c r="D568" s="320" t="s">
        <v>394</v>
      </c>
      <c r="E568" s="322">
        <f>200000</f>
        <v>200000</v>
      </c>
      <c r="F568" s="279"/>
      <c r="G568" s="273">
        <f t="shared" si="81"/>
        <v>200000</v>
      </c>
      <c r="H568" s="281">
        <v>210000</v>
      </c>
      <c r="I568" s="280">
        <f t="shared" si="84"/>
        <v>220500</v>
      </c>
      <c r="J568" s="280">
        <f t="shared" si="82"/>
        <v>231525</v>
      </c>
      <c r="K568" s="304">
        <v>210000</v>
      </c>
      <c r="L568" s="305">
        <f t="shared" si="83"/>
        <v>0</v>
      </c>
    </row>
    <row r="569" spans="1:12">
      <c r="A569" s="286"/>
      <c r="B569" s="319" t="s">
        <v>410</v>
      </c>
      <c r="C569" s="319"/>
      <c r="D569" s="320" t="s">
        <v>85</v>
      </c>
      <c r="E569" s="322">
        <f>1000000</f>
        <v>1000000</v>
      </c>
      <c r="F569" s="279"/>
      <c r="G569" s="273">
        <f t="shared" si="81"/>
        <v>1000000</v>
      </c>
      <c r="H569" s="281">
        <v>1050000</v>
      </c>
      <c r="I569" s="280">
        <f t="shared" si="84"/>
        <v>1102500</v>
      </c>
      <c r="J569" s="280">
        <f t="shared" si="82"/>
        <v>1157625</v>
      </c>
      <c r="K569" s="304">
        <v>1050000</v>
      </c>
      <c r="L569" s="305">
        <f t="shared" si="83"/>
        <v>0</v>
      </c>
    </row>
    <row r="570" spans="1:12">
      <c r="A570" s="286"/>
      <c r="B570" s="319"/>
      <c r="C570" s="319"/>
      <c r="D570" s="320" t="s">
        <v>171</v>
      </c>
      <c r="E570" s="322">
        <f>100000</f>
        <v>100000</v>
      </c>
      <c r="F570" s="279"/>
      <c r="G570" s="273">
        <f t="shared" si="81"/>
        <v>100000</v>
      </c>
      <c r="H570" s="281">
        <v>105000</v>
      </c>
      <c r="I570" s="280">
        <f t="shared" si="84"/>
        <v>110250</v>
      </c>
      <c r="J570" s="280">
        <f t="shared" si="82"/>
        <v>115762.5</v>
      </c>
      <c r="K570" s="304">
        <v>105000</v>
      </c>
      <c r="L570" s="305">
        <f t="shared" si="83"/>
        <v>0</v>
      </c>
    </row>
    <row r="571" spans="1:12">
      <c r="A571" s="286"/>
      <c r="B571" s="319"/>
      <c r="C571" s="319"/>
      <c r="D571" s="320" t="s">
        <v>100</v>
      </c>
      <c r="E571" s="322">
        <f>200000</f>
        <v>200000</v>
      </c>
      <c r="F571" s="279"/>
      <c r="G571" s="273">
        <f t="shared" si="81"/>
        <v>200000</v>
      </c>
      <c r="H571" s="281">
        <v>210000</v>
      </c>
      <c r="I571" s="280">
        <f t="shared" si="84"/>
        <v>220500</v>
      </c>
      <c r="J571" s="280">
        <f t="shared" si="82"/>
        <v>231525</v>
      </c>
      <c r="K571" s="304">
        <v>210000</v>
      </c>
      <c r="L571" s="305">
        <f t="shared" si="83"/>
        <v>0</v>
      </c>
    </row>
    <row r="572" spans="1:12">
      <c r="A572" s="309"/>
      <c r="B572" s="309"/>
      <c r="C572" s="309"/>
      <c r="D572" s="309" t="s">
        <v>162</v>
      </c>
      <c r="E572" s="346">
        <f t="shared" ref="E572" si="85">SUM(E526:E571)</f>
        <v>95679737</v>
      </c>
      <c r="F572" s="347">
        <f t="shared" ref="F572:J572" si="86">SUM(F526:F571)</f>
        <v>5700000</v>
      </c>
      <c r="G572" s="348">
        <f t="shared" si="86"/>
        <v>101379737</v>
      </c>
      <c r="H572" s="348">
        <f t="shared" si="86"/>
        <v>92798723</v>
      </c>
      <c r="I572" s="348">
        <f t="shared" si="86"/>
        <v>97438659.15</v>
      </c>
      <c r="J572" s="346">
        <f t="shared" si="86"/>
        <v>102310592.1075</v>
      </c>
      <c r="K572" s="304">
        <v>87798723</v>
      </c>
      <c r="L572" s="305">
        <f t="shared" si="83"/>
        <v>5000000</v>
      </c>
    </row>
    <row r="573" ht="9.75" customHeight="1" spans="1:10">
      <c r="A573" s="335"/>
      <c r="B573" s="336"/>
      <c r="C573" s="336"/>
      <c r="D573" s="336"/>
      <c r="E573" s="336"/>
      <c r="F573" s="279"/>
      <c r="G573" s="273">
        <f t="shared" ref="G573:G614" si="87">E573+F573</f>
        <v>0</v>
      </c>
      <c r="H573" s="281"/>
      <c r="I573" s="280"/>
      <c r="J573" s="280"/>
    </row>
    <row r="574" ht="27" customHeight="1" spans="1:10">
      <c r="A574" s="359"/>
      <c r="B574" s="360" t="s">
        <v>67</v>
      </c>
      <c r="C574" s="360"/>
      <c r="D574" s="360"/>
      <c r="E574" s="360"/>
      <c r="F574" s="360"/>
      <c r="G574" s="360"/>
      <c r="H574" s="361"/>
      <c r="I574" s="324"/>
      <c r="J574" s="324"/>
    </row>
    <row r="575" spans="1:10">
      <c r="A575" s="286"/>
      <c r="B575" s="362" t="s">
        <v>411</v>
      </c>
      <c r="C575" s="362"/>
      <c r="D575" s="363" t="s">
        <v>412</v>
      </c>
      <c r="E575" s="351">
        <f>30887190</f>
        <v>30887190</v>
      </c>
      <c r="F575" s="279"/>
      <c r="G575" s="273">
        <f t="shared" si="87"/>
        <v>30887190</v>
      </c>
      <c r="H575" s="281">
        <v>95752784</v>
      </c>
      <c r="I575" s="280">
        <f t="shared" si="84"/>
        <v>100540423.2</v>
      </c>
      <c r="J575" s="280">
        <f t="shared" si="82"/>
        <v>105567444.36</v>
      </c>
    </row>
    <row r="576" spans="1:10">
      <c r="A576" s="286"/>
      <c r="B576" s="362"/>
      <c r="C576" s="362"/>
      <c r="D576" s="321" t="s">
        <v>412</v>
      </c>
      <c r="E576" s="364">
        <f>43054370</f>
        <v>43054370</v>
      </c>
      <c r="F576" s="279"/>
      <c r="G576" s="273">
        <f t="shared" si="87"/>
        <v>43054370</v>
      </c>
      <c r="H576" s="281"/>
      <c r="I576" s="280">
        <f t="shared" si="84"/>
        <v>0</v>
      </c>
      <c r="J576" s="280">
        <f t="shared" si="82"/>
        <v>0</v>
      </c>
    </row>
    <row r="577" spans="1:10">
      <c r="A577" s="286"/>
      <c r="B577" s="362"/>
      <c r="C577" s="362"/>
      <c r="D577" s="320" t="s">
        <v>413</v>
      </c>
      <c r="E577" s="364">
        <f>17251568</f>
        <v>17251568</v>
      </c>
      <c r="F577" s="279"/>
      <c r="G577" s="273">
        <f t="shared" si="87"/>
        <v>17251568</v>
      </c>
      <c r="H577" s="281"/>
      <c r="I577" s="280">
        <f t="shared" si="84"/>
        <v>0</v>
      </c>
      <c r="J577" s="280">
        <f t="shared" si="82"/>
        <v>0</v>
      </c>
    </row>
    <row r="578" spans="1:10">
      <c r="A578" s="286"/>
      <c r="B578" s="319" t="s">
        <v>414</v>
      </c>
      <c r="C578" s="319"/>
      <c r="D578" s="363" t="s">
        <v>415</v>
      </c>
      <c r="E578" s="322">
        <f>1100000</f>
        <v>1100000</v>
      </c>
      <c r="F578" s="279"/>
      <c r="G578" s="273">
        <f t="shared" si="87"/>
        <v>1100000</v>
      </c>
      <c r="H578" s="281">
        <v>1155000</v>
      </c>
      <c r="I578" s="280">
        <f t="shared" si="84"/>
        <v>1212750</v>
      </c>
      <c r="J578" s="280">
        <f t="shared" si="82"/>
        <v>1273387.5</v>
      </c>
    </row>
    <row r="579" spans="1:10">
      <c r="A579" s="286"/>
      <c r="B579" s="319"/>
      <c r="C579" s="319"/>
      <c r="D579" s="363" t="s">
        <v>416</v>
      </c>
      <c r="E579" s="322">
        <f>1650000</f>
        <v>1650000</v>
      </c>
      <c r="F579" s="279"/>
      <c r="G579" s="273">
        <f t="shared" si="87"/>
        <v>1650000</v>
      </c>
      <c r="H579" s="281">
        <f>500000</f>
        <v>500000</v>
      </c>
      <c r="I579" s="280">
        <f t="shared" si="84"/>
        <v>525000</v>
      </c>
      <c r="J579" s="280">
        <f t="shared" si="82"/>
        <v>551250</v>
      </c>
    </row>
    <row r="580" spans="1:10">
      <c r="A580" s="286"/>
      <c r="B580" s="319"/>
      <c r="C580" s="319"/>
      <c r="D580" s="363" t="s">
        <v>417</v>
      </c>
      <c r="E580" s="322">
        <f>500000</f>
        <v>500000</v>
      </c>
      <c r="F580" s="279"/>
      <c r="G580" s="273">
        <f t="shared" si="87"/>
        <v>500000</v>
      </c>
      <c r="H580" s="281">
        <f>500000</f>
        <v>500000</v>
      </c>
      <c r="I580" s="280">
        <f t="shared" si="84"/>
        <v>525000</v>
      </c>
      <c r="J580" s="280">
        <f t="shared" si="82"/>
        <v>551250</v>
      </c>
    </row>
    <row r="581" spans="1:10">
      <c r="A581" s="286"/>
      <c r="B581" s="319"/>
      <c r="C581" s="319"/>
      <c r="D581" s="363" t="s">
        <v>418</v>
      </c>
      <c r="E581" s="322">
        <f>220000</f>
        <v>220000</v>
      </c>
      <c r="F581" s="279"/>
      <c r="G581" s="273">
        <f t="shared" si="87"/>
        <v>220000</v>
      </c>
      <c r="H581" s="365">
        <f>6000000</f>
        <v>6000000</v>
      </c>
      <c r="I581" s="280">
        <f t="shared" si="84"/>
        <v>6300000</v>
      </c>
      <c r="J581" s="280">
        <f t="shared" si="82"/>
        <v>6615000</v>
      </c>
    </row>
    <row r="582" spans="1:10">
      <c r="A582" s="286"/>
      <c r="B582" s="319"/>
      <c r="C582" s="319"/>
      <c r="D582" s="363" t="s">
        <v>419</v>
      </c>
      <c r="E582" s="322">
        <f>200000</f>
        <v>200000</v>
      </c>
      <c r="F582" s="279"/>
      <c r="G582" s="273">
        <f t="shared" si="87"/>
        <v>200000</v>
      </c>
      <c r="H582" s="281"/>
      <c r="I582" s="280">
        <f t="shared" si="84"/>
        <v>0</v>
      </c>
      <c r="J582" s="280">
        <f t="shared" si="82"/>
        <v>0</v>
      </c>
    </row>
    <row r="583" spans="1:10">
      <c r="A583" s="286"/>
      <c r="B583" s="319"/>
      <c r="C583" s="319"/>
      <c r="D583" s="363" t="s">
        <v>420</v>
      </c>
      <c r="E583" s="322">
        <f>550000</f>
        <v>550000</v>
      </c>
      <c r="F583" s="279"/>
      <c r="G583" s="273">
        <f t="shared" si="87"/>
        <v>550000</v>
      </c>
      <c r="H583" s="281">
        <v>100000</v>
      </c>
      <c r="I583" s="280">
        <f t="shared" si="84"/>
        <v>105000</v>
      </c>
      <c r="J583" s="280">
        <f t="shared" si="82"/>
        <v>110250</v>
      </c>
    </row>
    <row r="584" spans="1:10">
      <c r="A584" s="286"/>
      <c r="B584" s="319"/>
      <c r="C584" s="319"/>
      <c r="D584" s="363" t="s">
        <v>421</v>
      </c>
      <c r="E584" s="322"/>
      <c r="F584" s="279"/>
      <c r="G584" s="273">
        <f t="shared" si="87"/>
        <v>0</v>
      </c>
      <c r="H584" s="281">
        <v>0</v>
      </c>
      <c r="I584" s="280">
        <f t="shared" si="84"/>
        <v>0</v>
      </c>
      <c r="J584" s="280">
        <f t="shared" si="82"/>
        <v>0</v>
      </c>
    </row>
    <row r="585" spans="1:10">
      <c r="A585" s="286"/>
      <c r="B585" s="366" t="s">
        <v>422</v>
      </c>
      <c r="C585" s="366"/>
      <c r="D585" s="363" t="s">
        <v>423</v>
      </c>
      <c r="E585" s="322">
        <f>1100000</f>
        <v>1100000</v>
      </c>
      <c r="F585" s="279"/>
      <c r="G585" s="273">
        <f t="shared" si="87"/>
        <v>1100000</v>
      </c>
      <c r="H585" s="281">
        <f>500000</f>
        <v>500000</v>
      </c>
      <c r="I585" s="280">
        <f t="shared" si="84"/>
        <v>525000</v>
      </c>
      <c r="J585" s="280">
        <f t="shared" si="82"/>
        <v>551250</v>
      </c>
    </row>
    <row r="586" spans="1:10">
      <c r="A586" s="286"/>
      <c r="B586" s="367"/>
      <c r="C586" s="367"/>
      <c r="D586" s="363" t="s">
        <v>424</v>
      </c>
      <c r="E586" s="322">
        <f>220000</f>
        <v>220000</v>
      </c>
      <c r="F586" s="279"/>
      <c r="G586" s="273">
        <f t="shared" si="87"/>
        <v>220000</v>
      </c>
      <c r="H586" s="281">
        <v>231000</v>
      </c>
      <c r="I586" s="280">
        <f t="shared" si="84"/>
        <v>242550</v>
      </c>
      <c r="J586" s="280">
        <f t="shared" si="82"/>
        <v>254677.5</v>
      </c>
    </row>
    <row r="587" spans="1:10">
      <c r="A587" s="286"/>
      <c r="B587" s="367"/>
      <c r="C587" s="367"/>
      <c r="D587" s="363" t="s">
        <v>415</v>
      </c>
      <c r="E587" s="322">
        <f>1100000</f>
        <v>1100000</v>
      </c>
      <c r="F587" s="279"/>
      <c r="G587" s="273">
        <f t="shared" si="87"/>
        <v>1100000</v>
      </c>
      <c r="H587" s="281">
        <v>500000</v>
      </c>
      <c r="I587" s="280">
        <f t="shared" si="84"/>
        <v>525000</v>
      </c>
      <c r="J587" s="280">
        <f t="shared" si="82"/>
        <v>551250</v>
      </c>
    </row>
    <row r="588" spans="1:10">
      <c r="A588" s="286"/>
      <c r="B588" s="367"/>
      <c r="C588" s="367"/>
      <c r="D588" s="363" t="s">
        <v>425</v>
      </c>
      <c r="E588" s="322">
        <f>500000</f>
        <v>500000</v>
      </c>
      <c r="F588" s="279"/>
      <c r="G588" s="273">
        <f t="shared" si="87"/>
        <v>500000</v>
      </c>
      <c r="H588" s="281">
        <f>500000</f>
        <v>500000</v>
      </c>
      <c r="I588" s="280">
        <f t="shared" si="84"/>
        <v>525000</v>
      </c>
      <c r="J588" s="280">
        <f t="shared" si="82"/>
        <v>551250</v>
      </c>
    </row>
    <row r="589" spans="1:10">
      <c r="A589" s="286"/>
      <c r="B589" s="367"/>
      <c r="C589" s="367"/>
      <c r="D589" s="363" t="s">
        <v>426</v>
      </c>
      <c r="E589" s="322">
        <f>1100000</f>
        <v>1100000</v>
      </c>
      <c r="F589" s="279"/>
      <c r="G589" s="273">
        <f t="shared" si="87"/>
        <v>1100000</v>
      </c>
      <c r="H589" s="281">
        <v>1155000</v>
      </c>
      <c r="I589" s="280">
        <f t="shared" si="84"/>
        <v>1212750</v>
      </c>
      <c r="J589" s="280">
        <f t="shared" si="82"/>
        <v>1273387.5</v>
      </c>
    </row>
    <row r="590" spans="1:10">
      <c r="A590" s="286"/>
      <c r="B590" s="367"/>
      <c r="C590" s="367"/>
      <c r="D590" s="363" t="s">
        <v>427</v>
      </c>
      <c r="E590" s="322">
        <f>550000</f>
        <v>550000</v>
      </c>
      <c r="F590" s="279"/>
      <c r="G590" s="273">
        <f t="shared" si="87"/>
        <v>550000</v>
      </c>
      <c r="H590" s="281">
        <f>500000</f>
        <v>500000</v>
      </c>
      <c r="I590" s="280">
        <f t="shared" si="84"/>
        <v>525000</v>
      </c>
      <c r="J590" s="280">
        <f t="shared" ref="J590:J653" si="88">I590*1.05</f>
        <v>551250</v>
      </c>
    </row>
    <row r="591" spans="1:10">
      <c r="A591" s="286"/>
      <c r="B591" s="367"/>
      <c r="C591" s="367"/>
      <c r="D591" s="363" t="s">
        <v>428</v>
      </c>
      <c r="E591" s="322">
        <f>1100000</f>
        <v>1100000</v>
      </c>
      <c r="F591" s="279"/>
      <c r="G591" s="273">
        <f t="shared" si="87"/>
        <v>1100000</v>
      </c>
      <c r="H591" s="281">
        <v>1155000</v>
      </c>
      <c r="I591" s="280">
        <f t="shared" si="84"/>
        <v>1212750</v>
      </c>
      <c r="J591" s="280">
        <f t="shared" si="88"/>
        <v>1273387.5</v>
      </c>
    </row>
    <row r="592" spans="1:10">
      <c r="A592" s="286"/>
      <c r="B592" s="367"/>
      <c r="C592" s="367"/>
      <c r="D592" s="363" t="s">
        <v>400</v>
      </c>
      <c r="E592" s="322">
        <f>1100000</f>
        <v>1100000</v>
      </c>
      <c r="F592" s="279"/>
      <c r="G592" s="273">
        <f t="shared" si="87"/>
        <v>1100000</v>
      </c>
      <c r="H592" s="281">
        <v>0</v>
      </c>
      <c r="I592" s="280">
        <f t="shared" si="84"/>
        <v>0</v>
      </c>
      <c r="J592" s="280">
        <f t="shared" si="88"/>
        <v>0</v>
      </c>
    </row>
    <row r="593" spans="1:10">
      <c r="A593" s="286"/>
      <c r="B593" s="367"/>
      <c r="C593" s="367"/>
      <c r="D593" s="363" t="s">
        <v>429</v>
      </c>
      <c r="E593" s="322">
        <f>500000</f>
        <v>500000</v>
      </c>
      <c r="F593" s="279"/>
      <c r="G593" s="273">
        <f t="shared" si="87"/>
        <v>500000</v>
      </c>
      <c r="H593" s="281">
        <f>500000</f>
        <v>500000</v>
      </c>
      <c r="I593" s="280">
        <f t="shared" si="84"/>
        <v>525000</v>
      </c>
      <c r="J593" s="280">
        <f t="shared" si="88"/>
        <v>551250</v>
      </c>
    </row>
    <row r="594" spans="1:10">
      <c r="A594" s="286"/>
      <c r="B594" s="367"/>
      <c r="C594" s="367"/>
      <c r="D594" s="363" t="s">
        <v>215</v>
      </c>
      <c r="E594" s="322">
        <f>1100000</f>
        <v>1100000</v>
      </c>
      <c r="F594" s="279"/>
      <c r="G594" s="273">
        <f t="shared" si="87"/>
        <v>1100000</v>
      </c>
      <c r="H594" s="281">
        <f>500000</f>
        <v>500000</v>
      </c>
      <c r="I594" s="280">
        <f t="shared" si="84"/>
        <v>525000</v>
      </c>
      <c r="J594" s="280">
        <f t="shared" si="88"/>
        <v>551250</v>
      </c>
    </row>
    <row r="595" spans="1:10">
      <c r="A595" s="286"/>
      <c r="B595" s="368"/>
      <c r="C595" s="368"/>
      <c r="D595" s="363" t="s">
        <v>430</v>
      </c>
      <c r="E595" s="322"/>
      <c r="F595" s="279"/>
      <c r="G595" s="273">
        <f t="shared" si="87"/>
        <v>0</v>
      </c>
      <c r="H595" s="281">
        <v>0</v>
      </c>
      <c r="I595" s="280">
        <f t="shared" si="84"/>
        <v>0</v>
      </c>
      <c r="J595" s="280">
        <f t="shared" si="88"/>
        <v>0</v>
      </c>
    </row>
    <row r="596" spans="1:10">
      <c r="A596" s="286"/>
      <c r="B596" s="319" t="s">
        <v>431</v>
      </c>
      <c r="C596" s="319"/>
      <c r="D596" s="320" t="s">
        <v>85</v>
      </c>
      <c r="E596" s="322">
        <f>1064800</f>
        <v>1064800</v>
      </c>
      <c r="F596" s="279"/>
      <c r="G596" s="273">
        <f t="shared" si="87"/>
        <v>1064800</v>
      </c>
      <c r="H596" s="281">
        <f>1000000</f>
        <v>1000000</v>
      </c>
      <c r="I596" s="280">
        <f t="shared" si="84"/>
        <v>1050000</v>
      </c>
      <c r="J596" s="280">
        <f t="shared" si="88"/>
        <v>1102500</v>
      </c>
    </row>
    <row r="597" spans="1:10">
      <c r="A597" s="286"/>
      <c r="B597" s="319"/>
      <c r="C597" s="319"/>
      <c r="D597" s="320" t="s">
        <v>432</v>
      </c>
      <c r="E597" s="322">
        <f>3500000</f>
        <v>3500000</v>
      </c>
      <c r="F597" s="279"/>
      <c r="G597" s="273">
        <f t="shared" si="87"/>
        <v>3500000</v>
      </c>
      <c r="H597" s="281">
        <f>4000000</f>
        <v>4000000</v>
      </c>
      <c r="I597" s="280">
        <f t="shared" si="84"/>
        <v>4200000</v>
      </c>
      <c r="J597" s="280">
        <f t="shared" si="88"/>
        <v>4410000</v>
      </c>
    </row>
    <row r="598" spans="1:10">
      <c r="A598" s="286"/>
      <c r="B598" s="319"/>
      <c r="C598" s="319"/>
      <c r="D598" s="320" t="s">
        <v>433</v>
      </c>
      <c r="E598" s="322"/>
      <c r="F598" s="279"/>
      <c r="G598" s="273">
        <f t="shared" si="87"/>
        <v>0</v>
      </c>
      <c r="H598" s="281">
        <v>0</v>
      </c>
      <c r="I598" s="280">
        <f t="shared" ref="I598:I661" si="89">H598*1.05</f>
        <v>0</v>
      </c>
      <c r="J598" s="280">
        <f t="shared" si="88"/>
        <v>0</v>
      </c>
    </row>
    <row r="599" spans="1:10">
      <c r="A599" s="286"/>
      <c r="B599" s="319"/>
      <c r="C599" s="319"/>
      <c r="D599" s="320" t="s">
        <v>434</v>
      </c>
      <c r="E599" s="322"/>
      <c r="F599" s="279"/>
      <c r="G599" s="273">
        <f t="shared" si="87"/>
        <v>0</v>
      </c>
      <c r="H599" s="281">
        <v>0</v>
      </c>
      <c r="I599" s="280">
        <f t="shared" si="89"/>
        <v>0</v>
      </c>
      <c r="J599" s="280">
        <f t="shared" si="88"/>
        <v>0</v>
      </c>
    </row>
    <row r="600" spans="1:10">
      <c r="A600" s="286"/>
      <c r="B600" s="319"/>
      <c r="C600" s="319"/>
      <c r="D600" s="320" t="s">
        <v>435</v>
      </c>
      <c r="E600" s="322">
        <f>1000000</f>
        <v>1000000</v>
      </c>
      <c r="F600" s="279"/>
      <c r="G600" s="273">
        <f t="shared" si="87"/>
        <v>1000000</v>
      </c>
      <c r="H600" s="281">
        <v>1050000</v>
      </c>
      <c r="I600" s="280">
        <f t="shared" si="89"/>
        <v>1102500</v>
      </c>
      <c r="J600" s="280">
        <f t="shared" si="88"/>
        <v>1157625</v>
      </c>
    </row>
    <row r="601" spans="1:10">
      <c r="A601" s="286"/>
      <c r="B601" s="319"/>
      <c r="C601" s="319"/>
      <c r="D601" s="320" t="s">
        <v>436</v>
      </c>
      <c r="E601" s="322">
        <f>1996500</f>
        <v>1996500</v>
      </c>
      <c r="F601" s="279"/>
      <c r="G601" s="273">
        <f t="shared" si="87"/>
        <v>1996500</v>
      </c>
      <c r="H601" s="281">
        <f>1500000</f>
        <v>1500000</v>
      </c>
      <c r="I601" s="280">
        <f t="shared" si="89"/>
        <v>1575000</v>
      </c>
      <c r="J601" s="280">
        <f t="shared" si="88"/>
        <v>1653750</v>
      </c>
    </row>
    <row r="602" spans="1:10">
      <c r="A602" s="286"/>
      <c r="B602" s="319"/>
      <c r="C602" s="319"/>
      <c r="D602" s="320" t="s">
        <v>93</v>
      </c>
      <c r="E602" s="322">
        <f>133100</f>
        <v>133100</v>
      </c>
      <c r="F602" s="279"/>
      <c r="G602" s="273">
        <f t="shared" si="87"/>
        <v>133100</v>
      </c>
      <c r="H602" s="281">
        <v>139755</v>
      </c>
      <c r="I602" s="280">
        <f t="shared" si="89"/>
        <v>146742.75</v>
      </c>
      <c r="J602" s="280">
        <f t="shared" si="88"/>
        <v>154079.8875</v>
      </c>
    </row>
    <row r="603" spans="1:10">
      <c r="A603" s="286"/>
      <c r="B603" s="319"/>
      <c r="C603" s="319"/>
      <c r="D603" s="320" t="s">
        <v>100</v>
      </c>
      <c r="E603" s="322">
        <f>4500000</f>
        <v>4500000</v>
      </c>
      <c r="F603" s="279"/>
      <c r="G603" s="273">
        <f t="shared" si="87"/>
        <v>4500000</v>
      </c>
      <c r="H603" s="281">
        <v>1500000</v>
      </c>
      <c r="I603" s="280">
        <f t="shared" si="89"/>
        <v>1575000</v>
      </c>
      <c r="J603" s="280">
        <f t="shared" si="88"/>
        <v>1653750</v>
      </c>
    </row>
    <row r="604" spans="1:10">
      <c r="A604" s="286"/>
      <c r="B604" s="319" t="s">
        <v>437</v>
      </c>
      <c r="C604" s="319"/>
      <c r="D604" s="321" t="s">
        <v>85</v>
      </c>
      <c r="E604" s="364">
        <f>500000</f>
        <v>500000</v>
      </c>
      <c r="F604" s="279"/>
      <c r="G604" s="273">
        <f t="shared" si="87"/>
        <v>500000</v>
      </c>
      <c r="H604" s="281">
        <f>500000</f>
        <v>500000</v>
      </c>
      <c r="I604" s="280">
        <f t="shared" si="89"/>
        <v>525000</v>
      </c>
      <c r="J604" s="280">
        <f t="shared" si="88"/>
        <v>551250</v>
      </c>
    </row>
    <row r="605" spans="1:10">
      <c r="A605" s="286"/>
      <c r="B605" s="319"/>
      <c r="C605" s="319"/>
      <c r="D605" s="321" t="s">
        <v>394</v>
      </c>
      <c r="E605" s="364">
        <f>500000</f>
        <v>500000</v>
      </c>
      <c r="F605" s="279"/>
      <c r="G605" s="273">
        <f t="shared" si="87"/>
        <v>500000</v>
      </c>
      <c r="H605" s="281">
        <v>525000</v>
      </c>
      <c r="I605" s="280">
        <f t="shared" si="89"/>
        <v>551250</v>
      </c>
      <c r="J605" s="280">
        <f t="shared" si="88"/>
        <v>578812.5</v>
      </c>
    </row>
    <row r="606" spans="1:10">
      <c r="A606" s="286"/>
      <c r="B606" s="319"/>
      <c r="C606" s="319"/>
      <c r="D606" s="321" t="s">
        <v>94</v>
      </c>
      <c r="E606" s="364">
        <f>1000000</f>
        <v>1000000</v>
      </c>
      <c r="F606" s="279"/>
      <c r="G606" s="273">
        <f t="shared" si="87"/>
        <v>1000000</v>
      </c>
      <c r="H606" s="281">
        <f>500000</f>
        <v>500000</v>
      </c>
      <c r="I606" s="280">
        <f t="shared" si="89"/>
        <v>525000</v>
      </c>
      <c r="J606" s="280">
        <f t="shared" si="88"/>
        <v>551250</v>
      </c>
    </row>
    <row r="607" spans="1:10">
      <c r="A607" s="286"/>
      <c r="B607" s="319" t="s">
        <v>438</v>
      </c>
      <c r="C607" s="319"/>
      <c r="D607" s="320" t="s">
        <v>85</v>
      </c>
      <c r="E607" s="364">
        <f>550000</f>
        <v>550000</v>
      </c>
      <c r="F607" s="279"/>
      <c r="G607" s="273">
        <f t="shared" si="87"/>
        <v>550000</v>
      </c>
      <c r="H607" s="281">
        <f>500000</f>
        <v>500000</v>
      </c>
      <c r="I607" s="280">
        <f t="shared" si="89"/>
        <v>525000</v>
      </c>
      <c r="J607" s="280">
        <f t="shared" si="88"/>
        <v>551250</v>
      </c>
    </row>
    <row r="608" spans="1:10">
      <c r="A608" s="286"/>
      <c r="B608" s="319"/>
      <c r="C608" s="319"/>
      <c r="D608" s="320" t="s">
        <v>394</v>
      </c>
      <c r="E608" s="364">
        <f>550000</f>
        <v>550000</v>
      </c>
      <c r="F608" s="279"/>
      <c r="G608" s="273">
        <f t="shared" si="87"/>
        <v>550000</v>
      </c>
      <c r="H608" s="281">
        <f>500000</f>
        <v>500000</v>
      </c>
      <c r="I608" s="280">
        <f t="shared" si="89"/>
        <v>525000</v>
      </c>
      <c r="J608" s="280">
        <f t="shared" si="88"/>
        <v>551250</v>
      </c>
    </row>
    <row r="609" spans="1:10">
      <c r="A609" s="286"/>
      <c r="B609" s="319"/>
      <c r="C609" s="319"/>
      <c r="D609" s="320" t="s">
        <v>94</v>
      </c>
      <c r="E609" s="364">
        <f>800000</f>
        <v>800000</v>
      </c>
      <c r="F609" s="279"/>
      <c r="G609" s="273">
        <f t="shared" si="87"/>
        <v>800000</v>
      </c>
      <c r="H609" s="281">
        <f>500000</f>
        <v>500000</v>
      </c>
      <c r="I609" s="280">
        <f t="shared" si="89"/>
        <v>525000</v>
      </c>
      <c r="J609" s="280">
        <f t="shared" si="88"/>
        <v>551250</v>
      </c>
    </row>
    <row r="610" ht="26.25" customHeight="1" spans="1:10">
      <c r="A610" s="286"/>
      <c r="B610" s="319"/>
      <c r="C610" s="319"/>
      <c r="D610" s="320" t="s">
        <v>260</v>
      </c>
      <c r="E610" s="364">
        <v>10026</v>
      </c>
      <c r="F610" s="279"/>
      <c r="G610" s="273">
        <f t="shared" si="87"/>
        <v>10026</v>
      </c>
      <c r="H610" s="281">
        <v>10527</v>
      </c>
      <c r="I610" s="280">
        <f t="shared" si="89"/>
        <v>11053.35</v>
      </c>
      <c r="J610" s="280">
        <f t="shared" si="88"/>
        <v>11606.0175</v>
      </c>
    </row>
    <row r="611" spans="1:10">
      <c r="A611" s="286"/>
      <c r="B611" s="319"/>
      <c r="C611" s="319"/>
      <c r="D611" s="320" t="s">
        <v>439</v>
      </c>
      <c r="E611" s="364">
        <f>160000</f>
        <v>160000</v>
      </c>
      <c r="F611" s="279"/>
      <c r="G611" s="273">
        <f t="shared" si="87"/>
        <v>160000</v>
      </c>
      <c r="H611" s="281">
        <v>168000</v>
      </c>
      <c r="I611" s="280">
        <f t="shared" si="89"/>
        <v>176400</v>
      </c>
      <c r="J611" s="280">
        <f t="shared" si="88"/>
        <v>185220</v>
      </c>
    </row>
    <row r="612" spans="1:10">
      <c r="A612" s="286"/>
      <c r="B612" s="319"/>
      <c r="C612" s="319"/>
      <c r="D612" s="320" t="s">
        <v>234</v>
      </c>
      <c r="E612" s="364">
        <f>250000</f>
        <v>250000</v>
      </c>
      <c r="F612" s="279"/>
      <c r="G612" s="273">
        <f t="shared" si="87"/>
        <v>250000</v>
      </c>
      <c r="H612" s="281">
        <v>262500</v>
      </c>
      <c r="I612" s="280">
        <f t="shared" si="89"/>
        <v>275625</v>
      </c>
      <c r="J612" s="280">
        <f t="shared" si="88"/>
        <v>289406.25</v>
      </c>
    </row>
    <row r="613" spans="1:10">
      <c r="A613" s="286"/>
      <c r="B613" s="319"/>
      <c r="C613" s="319"/>
      <c r="D613" s="320" t="s">
        <v>238</v>
      </c>
      <c r="E613" s="364">
        <f>1000000</f>
        <v>1000000</v>
      </c>
      <c r="F613" s="279"/>
      <c r="G613" s="273">
        <f t="shared" si="87"/>
        <v>1000000</v>
      </c>
      <c r="H613" s="281">
        <f>500000</f>
        <v>500000</v>
      </c>
      <c r="I613" s="280">
        <f t="shared" si="89"/>
        <v>525000</v>
      </c>
      <c r="J613" s="280">
        <f t="shared" si="88"/>
        <v>551250</v>
      </c>
    </row>
    <row r="614" spans="1:10">
      <c r="A614" s="286"/>
      <c r="B614" s="319"/>
      <c r="C614" s="319"/>
      <c r="D614" s="320" t="s">
        <v>440</v>
      </c>
      <c r="E614" s="364">
        <f>110000</f>
        <v>110000</v>
      </c>
      <c r="F614" s="279"/>
      <c r="G614" s="273">
        <f t="shared" si="87"/>
        <v>110000</v>
      </c>
      <c r="H614" s="281">
        <v>115500</v>
      </c>
      <c r="I614" s="280">
        <f t="shared" si="89"/>
        <v>121275</v>
      </c>
      <c r="J614" s="280">
        <f t="shared" si="88"/>
        <v>127338.75</v>
      </c>
    </row>
    <row r="615" spans="1:10">
      <c r="A615" s="369" t="s">
        <v>162</v>
      </c>
      <c r="B615" s="370"/>
      <c r="C615" s="370"/>
      <c r="D615" s="371"/>
      <c r="E615" s="346">
        <f t="shared" ref="E615" si="90">SUM(E575:E614)</f>
        <v>121407554</v>
      </c>
      <c r="F615" s="347">
        <f t="shared" ref="F615:J615" si="91">SUM(F575:F614)</f>
        <v>0</v>
      </c>
      <c r="G615" s="348">
        <f t="shared" si="91"/>
        <v>121407554</v>
      </c>
      <c r="H615" s="348">
        <f t="shared" si="91"/>
        <v>122820066</v>
      </c>
      <c r="I615" s="348">
        <f t="shared" si="91"/>
        <v>128961069.3</v>
      </c>
      <c r="J615" s="346">
        <f t="shared" si="91"/>
        <v>135409122.765</v>
      </c>
    </row>
    <row r="616" ht="10.5" customHeight="1" spans="1:10">
      <c r="A616" s="314"/>
      <c r="B616" s="315"/>
      <c r="C616" s="315"/>
      <c r="D616" s="315"/>
      <c r="E616" s="315"/>
      <c r="F616" s="279"/>
      <c r="G616" s="280"/>
      <c r="H616" s="281"/>
      <c r="I616" s="280"/>
      <c r="J616" s="280"/>
    </row>
    <row r="617" spans="1:10">
      <c r="A617" s="337"/>
      <c r="B617" s="284" t="s">
        <v>69</v>
      </c>
      <c r="C617" s="284"/>
      <c r="D617" s="284"/>
      <c r="E617" s="284"/>
      <c r="F617" s="284"/>
      <c r="G617" s="284"/>
      <c r="H617" s="285"/>
      <c r="I617" s="324"/>
      <c r="J617" s="324"/>
    </row>
    <row r="618" spans="1:10">
      <c r="A618" s="286"/>
      <c r="B618" s="319" t="s">
        <v>303</v>
      </c>
      <c r="C618" s="319"/>
      <c r="D618" s="320" t="s">
        <v>441</v>
      </c>
      <c r="E618" s="322">
        <v>739772478</v>
      </c>
      <c r="F618" s="279"/>
      <c r="G618" s="273">
        <f t="shared" ref="G618:G651" si="92">E618+F618</f>
        <v>739772478</v>
      </c>
      <c r="H618" s="281">
        <v>776319087</v>
      </c>
      <c r="I618" s="280">
        <f t="shared" si="89"/>
        <v>815135041.35</v>
      </c>
      <c r="J618" s="280">
        <f t="shared" si="88"/>
        <v>855891793.4175</v>
      </c>
    </row>
    <row r="619" spans="1:10">
      <c r="A619" s="286"/>
      <c r="B619" s="319"/>
      <c r="C619" s="319"/>
      <c r="D619" s="320" t="s">
        <v>442</v>
      </c>
      <c r="E619" s="322"/>
      <c r="F619" s="279"/>
      <c r="G619" s="273"/>
      <c r="H619" s="281">
        <v>128000000</v>
      </c>
      <c r="I619" s="280">
        <v>0</v>
      </c>
      <c r="J619" s="280">
        <v>0</v>
      </c>
    </row>
    <row r="620" spans="1:10">
      <c r="A620" s="286"/>
      <c r="B620" s="319"/>
      <c r="C620" s="319"/>
      <c r="D620" s="320" t="s">
        <v>443</v>
      </c>
      <c r="E620" s="322"/>
      <c r="F620" s="279"/>
      <c r="G620" s="273">
        <f t="shared" si="92"/>
        <v>0</v>
      </c>
      <c r="H620" s="281">
        <f>3000000</f>
        <v>3000000</v>
      </c>
      <c r="I620" s="280">
        <f t="shared" si="89"/>
        <v>3150000</v>
      </c>
      <c r="J620" s="280">
        <f t="shared" si="88"/>
        <v>3307500</v>
      </c>
    </row>
    <row r="621" spans="1:10">
      <c r="A621" s="286"/>
      <c r="B621" s="319"/>
      <c r="C621" s="319"/>
      <c r="D621" s="320" t="s">
        <v>444</v>
      </c>
      <c r="E621" s="322"/>
      <c r="F621" s="279"/>
      <c r="G621" s="273">
        <f t="shared" si="92"/>
        <v>0</v>
      </c>
      <c r="H621" s="281">
        <f>3000000</f>
        <v>3000000</v>
      </c>
      <c r="I621" s="280">
        <f t="shared" si="89"/>
        <v>3150000</v>
      </c>
      <c r="J621" s="280">
        <f t="shared" si="88"/>
        <v>3307500</v>
      </c>
    </row>
    <row r="622" spans="1:10">
      <c r="A622" s="286"/>
      <c r="B622" s="319"/>
      <c r="C622" s="319"/>
      <c r="D622" s="320" t="s">
        <v>445</v>
      </c>
      <c r="E622" s="322"/>
      <c r="F622" s="279"/>
      <c r="G622" s="273">
        <f t="shared" si="92"/>
        <v>0</v>
      </c>
      <c r="H622" s="281">
        <v>0</v>
      </c>
      <c r="I622" s="280">
        <f t="shared" si="89"/>
        <v>0</v>
      </c>
      <c r="J622" s="280">
        <f t="shared" si="88"/>
        <v>0</v>
      </c>
    </row>
    <row r="623" spans="1:10">
      <c r="A623" s="286"/>
      <c r="B623" s="319"/>
      <c r="C623" s="319"/>
      <c r="D623" s="356" t="s">
        <v>446</v>
      </c>
      <c r="E623" s="372">
        <f>12400000</f>
        <v>12400000</v>
      </c>
      <c r="F623" s="373"/>
      <c r="G623" s="374">
        <f t="shared" si="92"/>
        <v>12400000</v>
      </c>
      <c r="H623" s="357">
        <f>100000000</f>
        <v>100000000</v>
      </c>
      <c r="I623" s="280">
        <f t="shared" si="89"/>
        <v>105000000</v>
      </c>
      <c r="J623" s="280">
        <f t="shared" si="88"/>
        <v>110250000</v>
      </c>
    </row>
    <row r="624" spans="1:10">
      <c r="A624" s="286"/>
      <c r="B624" s="319"/>
      <c r="C624" s="319"/>
      <c r="D624" s="320" t="s">
        <v>447</v>
      </c>
      <c r="E624" s="322"/>
      <c r="F624" s="279"/>
      <c r="G624" s="273"/>
      <c r="H624" s="281">
        <v>5000000</v>
      </c>
      <c r="I624" s="280">
        <f t="shared" si="89"/>
        <v>5250000</v>
      </c>
      <c r="J624" s="280">
        <f t="shared" si="88"/>
        <v>5512500</v>
      </c>
    </row>
    <row r="625" spans="1:10">
      <c r="A625" s="286"/>
      <c r="B625" s="319"/>
      <c r="C625" s="319"/>
      <c r="D625" s="356" t="s">
        <v>448</v>
      </c>
      <c r="E625" s="372"/>
      <c r="F625" s="373"/>
      <c r="G625" s="374">
        <f t="shared" si="92"/>
        <v>0</v>
      </c>
      <c r="H625" s="357">
        <v>61896301</v>
      </c>
      <c r="I625" s="280">
        <f t="shared" si="89"/>
        <v>64991116.05</v>
      </c>
      <c r="J625" s="280">
        <f t="shared" si="88"/>
        <v>68240671.8525</v>
      </c>
    </row>
    <row r="626" spans="1:10">
      <c r="A626" s="286"/>
      <c r="B626" s="319"/>
      <c r="C626" s="319"/>
      <c r="D626" s="356" t="s">
        <v>449</v>
      </c>
      <c r="E626" s="372"/>
      <c r="F626" s="373"/>
      <c r="G626" s="374"/>
      <c r="H626" s="357">
        <v>46736640</v>
      </c>
      <c r="I626" s="280">
        <f t="shared" si="89"/>
        <v>49073472</v>
      </c>
      <c r="J626" s="280">
        <f t="shared" si="88"/>
        <v>51527145.6</v>
      </c>
    </row>
    <row r="627" ht="42" spans="1:10">
      <c r="A627" s="286"/>
      <c r="B627" s="319"/>
      <c r="C627" s="319"/>
      <c r="D627" s="320" t="s">
        <v>450</v>
      </c>
      <c r="E627" s="322"/>
      <c r="F627" s="279"/>
      <c r="H627" s="281">
        <v>3000000</v>
      </c>
      <c r="I627" s="280">
        <f t="shared" si="89"/>
        <v>3150000</v>
      </c>
      <c r="J627" s="280">
        <f t="shared" si="88"/>
        <v>3307500</v>
      </c>
    </row>
    <row r="628" spans="1:10">
      <c r="A628" s="286"/>
      <c r="B628" s="319"/>
      <c r="C628" s="319"/>
      <c r="D628" s="320" t="s">
        <v>451</v>
      </c>
      <c r="E628" s="322"/>
      <c r="F628" s="279"/>
      <c r="G628" s="273">
        <f t="shared" si="92"/>
        <v>0</v>
      </c>
      <c r="H628" s="281">
        <v>2000000</v>
      </c>
      <c r="I628" s="280">
        <f t="shared" si="89"/>
        <v>2100000</v>
      </c>
      <c r="J628" s="280">
        <f t="shared" si="88"/>
        <v>2205000</v>
      </c>
    </row>
    <row r="629" spans="1:10">
      <c r="A629" s="286"/>
      <c r="B629" s="319"/>
      <c r="C629" s="319"/>
      <c r="D629" s="320" t="s">
        <v>452</v>
      </c>
      <c r="E629" s="322">
        <v>20000000</v>
      </c>
      <c r="F629" s="279"/>
      <c r="G629" s="273">
        <f t="shared" si="92"/>
        <v>20000000</v>
      </c>
      <c r="H629" s="281">
        <v>21600000</v>
      </c>
      <c r="I629" s="280">
        <f t="shared" si="89"/>
        <v>22680000</v>
      </c>
      <c r="J629" s="280">
        <f t="shared" si="88"/>
        <v>23814000</v>
      </c>
    </row>
    <row r="630" spans="1:10">
      <c r="A630" s="286"/>
      <c r="B630" s="319"/>
      <c r="C630" s="319"/>
      <c r="D630" s="320" t="s">
        <v>453</v>
      </c>
      <c r="E630" s="322"/>
      <c r="F630" s="279"/>
      <c r="G630" s="273">
        <f t="shared" si="92"/>
        <v>0</v>
      </c>
      <c r="H630" s="281">
        <v>31595832</v>
      </c>
      <c r="I630" s="280">
        <f t="shared" si="89"/>
        <v>33175623.6</v>
      </c>
      <c r="J630" s="280">
        <f t="shared" si="88"/>
        <v>34834404.78</v>
      </c>
    </row>
    <row r="631" spans="1:10">
      <c r="A631" s="286"/>
      <c r="B631" s="319"/>
      <c r="C631" s="319"/>
      <c r="D631" s="320" t="s">
        <v>454</v>
      </c>
      <c r="E631" s="322">
        <f>63411000+10000000</f>
        <v>73411000</v>
      </c>
      <c r="F631" s="279">
        <v>-1750000</v>
      </c>
      <c r="G631" s="273">
        <f t="shared" si="92"/>
        <v>71661000</v>
      </c>
      <c r="H631" s="281">
        <f>20000000</f>
        <v>20000000</v>
      </c>
      <c r="I631" s="280">
        <f t="shared" si="89"/>
        <v>21000000</v>
      </c>
      <c r="J631" s="280">
        <f t="shared" si="88"/>
        <v>22050000</v>
      </c>
    </row>
    <row r="632" spans="1:10">
      <c r="A632" s="286"/>
      <c r="B632" s="319"/>
      <c r="C632" s="319"/>
      <c r="D632" s="320" t="s">
        <v>455</v>
      </c>
      <c r="E632" s="322"/>
      <c r="F632" s="279"/>
      <c r="G632" s="273"/>
      <c r="H632" s="281">
        <f>5000000</f>
        <v>5000000</v>
      </c>
      <c r="I632" s="280">
        <f t="shared" si="89"/>
        <v>5250000</v>
      </c>
      <c r="J632" s="280">
        <f t="shared" si="88"/>
        <v>5512500</v>
      </c>
    </row>
    <row r="633" spans="1:10">
      <c r="A633" s="286"/>
      <c r="B633" s="319"/>
      <c r="C633" s="319"/>
      <c r="D633" s="320" t="s">
        <v>456</v>
      </c>
      <c r="E633" s="322"/>
      <c r="F633" s="279"/>
      <c r="G633" s="273">
        <f t="shared" si="92"/>
        <v>0</v>
      </c>
      <c r="H633" s="281">
        <v>0</v>
      </c>
      <c r="I633" s="280">
        <f t="shared" si="89"/>
        <v>0</v>
      </c>
      <c r="J633" s="280">
        <f t="shared" si="88"/>
        <v>0</v>
      </c>
    </row>
    <row r="634" spans="1:10">
      <c r="A634" s="286"/>
      <c r="B634" s="319"/>
      <c r="C634" s="319"/>
      <c r="D634" s="320" t="s">
        <v>457</v>
      </c>
      <c r="E634" s="322"/>
      <c r="F634" s="279"/>
      <c r="G634" s="273">
        <f t="shared" si="92"/>
        <v>0</v>
      </c>
      <c r="H634" s="281">
        <v>0</v>
      </c>
      <c r="I634" s="280">
        <f t="shared" si="89"/>
        <v>0</v>
      </c>
      <c r="J634" s="280">
        <f t="shared" si="88"/>
        <v>0</v>
      </c>
    </row>
    <row r="635" spans="1:10">
      <c r="A635" s="286"/>
      <c r="B635" s="319"/>
      <c r="C635" s="319"/>
      <c r="D635" s="320" t="s">
        <v>458</v>
      </c>
      <c r="E635" s="322">
        <f>62000000+10000000+9500000+10000000</f>
        <v>91500000</v>
      </c>
      <c r="F635" s="279">
        <v>40000000</v>
      </c>
      <c r="G635" s="273">
        <f t="shared" si="92"/>
        <v>131500000</v>
      </c>
      <c r="H635" s="281">
        <v>145000000</v>
      </c>
      <c r="I635" s="280">
        <f t="shared" si="89"/>
        <v>152250000</v>
      </c>
      <c r="J635" s="280">
        <f t="shared" si="88"/>
        <v>159862500</v>
      </c>
    </row>
    <row r="636" spans="1:10">
      <c r="A636" s="286"/>
      <c r="B636" s="319"/>
      <c r="C636" s="319"/>
      <c r="D636" s="320" t="s">
        <v>416</v>
      </c>
      <c r="E636" s="322">
        <f>3100000</f>
        <v>3100000</v>
      </c>
      <c r="F636" s="279"/>
      <c r="G636" s="273">
        <f t="shared" si="92"/>
        <v>3100000</v>
      </c>
      <c r="H636" s="281">
        <f>1500000</f>
        <v>1500000</v>
      </c>
      <c r="I636" s="280">
        <f t="shared" si="89"/>
        <v>1575000</v>
      </c>
      <c r="J636" s="280">
        <f t="shared" si="88"/>
        <v>1653750</v>
      </c>
    </row>
    <row r="637" ht="42" spans="1:10">
      <c r="A637" s="286"/>
      <c r="B637" s="319"/>
      <c r="C637" s="319"/>
      <c r="D637" s="320" t="s">
        <v>459</v>
      </c>
      <c r="E637" s="322"/>
      <c r="F637" s="279"/>
      <c r="G637" s="273">
        <f t="shared" si="92"/>
        <v>0</v>
      </c>
      <c r="H637" s="281">
        <v>0</v>
      </c>
      <c r="I637" s="280">
        <f t="shared" si="89"/>
        <v>0</v>
      </c>
      <c r="J637" s="280">
        <f t="shared" si="88"/>
        <v>0</v>
      </c>
    </row>
    <row r="638" spans="1:10">
      <c r="A638" s="286"/>
      <c r="B638" s="319"/>
      <c r="C638" s="319"/>
      <c r="D638" s="320" t="s">
        <v>460</v>
      </c>
      <c r="E638" s="322">
        <f>8000000</f>
        <v>8000000</v>
      </c>
      <c r="F638" s="279"/>
      <c r="G638" s="273">
        <f t="shared" si="92"/>
        <v>8000000</v>
      </c>
      <c r="H638" s="281">
        <v>6400000</v>
      </c>
      <c r="I638" s="280">
        <f t="shared" si="89"/>
        <v>6720000</v>
      </c>
      <c r="J638" s="280">
        <f t="shared" si="88"/>
        <v>7056000</v>
      </c>
    </row>
    <row r="639" spans="1:10">
      <c r="A639" s="286"/>
      <c r="B639" s="319"/>
      <c r="C639" s="319"/>
      <c r="D639" s="320" t="s">
        <v>461</v>
      </c>
      <c r="E639" s="322">
        <f>930000</f>
        <v>930000</v>
      </c>
      <c r="F639" s="279">
        <v>0</v>
      </c>
      <c r="G639" s="273">
        <f t="shared" si="92"/>
        <v>930000</v>
      </c>
      <c r="H639" s="281">
        <v>3000000</v>
      </c>
      <c r="I639" s="280">
        <f t="shared" si="89"/>
        <v>3150000</v>
      </c>
      <c r="J639" s="280">
        <f t="shared" si="88"/>
        <v>3307500</v>
      </c>
    </row>
    <row r="640" spans="1:10">
      <c r="A640" s="286"/>
      <c r="B640" s="319"/>
      <c r="C640" s="319"/>
      <c r="D640" s="320" t="s">
        <v>424</v>
      </c>
      <c r="E640" s="322">
        <f>682000</f>
        <v>682000</v>
      </c>
      <c r="F640" s="279"/>
      <c r="G640" s="273">
        <f t="shared" si="92"/>
        <v>682000</v>
      </c>
      <c r="H640" s="281">
        <v>0</v>
      </c>
      <c r="I640" s="280">
        <f t="shared" si="89"/>
        <v>0</v>
      </c>
      <c r="J640" s="280">
        <f t="shared" si="88"/>
        <v>0</v>
      </c>
    </row>
    <row r="641" spans="1:10">
      <c r="A641" s="286"/>
      <c r="B641" s="319"/>
      <c r="C641" s="319"/>
      <c r="D641" s="320" t="s">
        <v>389</v>
      </c>
      <c r="E641" s="322">
        <f>930000</f>
        <v>930000</v>
      </c>
      <c r="F641" s="279"/>
      <c r="G641" s="273">
        <f t="shared" si="92"/>
        <v>930000</v>
      </c>
      <c r="H641" s="281">
        <v>900000</v>
      </c>
      <c r="I641" s="280">
        <f t="shared" si="89"/>
        <v>945000</v>
      </c>
      <c r="J641" s="280">
        <f t="shared" si="88"/>
        <v>992250</v>
      </c>
    </row>
    <row r="642" spans="1:10">
      <c r="A642" s="286"/>
      <c r="B642" s="319"/>
      <c r="C642" s="319"/>
      <c r="D642" s="320" t="s">
        <v>462</v>
      </c>
      <c r="E642" s="322">
        <f>620000</f>
        <v>620000</v>
      </c>
      <c r="F642" s="279">
        <v>0</v>
      </c>
      <c r="G642" s="273">
        <f t="shared" si="92"/>
        <v>620000</v>
      </c>
      <c r="H642" s="281">
        <v>1000000</v>
      </c>
      <c r="I642" s="280">
        <f t="shared" si="89"/>
        <v>1050000</v>
      </c>
      <c r="J642" s="280">
        <f t="shared" si="88"/>
        <v>1102500</v>
      </c>
    </row>
    <row r="643" ht="42" spans="1:10">
      <c r="A643" s="286"/>
      <c r="B643" s="319"/>
      <c r="C643" s="319"/>
      <c r="D643" s="321" t="s">
        <v>463</v>
      </c>
      <c r="E643" s="322">
        <f>1050000</f>
        <v>1050000</v>
      </c>
      <c r="F643" s="279"/>
      <c r="G643" s="273">
        <f t="shared" si="92"/>
        <v>1050000</v>
      </c>
      <c r="H643" s="281">
        <v>1102500</v>
      </c>
      <c r="I643" s="280">
        <f t="shared" si="89"/>
        <v>1157625</v>
      </c>
      <c r="J643" s="280">
        <f t="shared" si="88"/>
        <v>1215506.25</v>
      </c>
    </row>
    <row r="644" spans="1:10">
      <c r="A644" s="286"/>
      <c r="B644" s="319"/>
      <c r="C644" s="319"/>
      <c r="D644" s="321" t="s">
        <v>464</v>
      </c>
      <c r="E644" s="322"/>
      <c r="F644" s="279"/>
      <c r="G644" s="273">
        <f t="shared" si="92"/>
        <v>0</v>
      </c>
      <c r="H644" s="281">
        <v>0</v>
      </c>
      <c r="I644" s="280">
        <f t="shared" si="89"/>
        <v>0</v>
      </c>
      <c r="J644" s="280">
        <f t="shared" si="88"/>
        <v>0</v>
      </c>
    </row>
    <row r="645" spans="1:10">
      <c r="A645" s="286"/>
      <c r="B645" s="319"/>
      <c r="C645" s="319"/>
      <c r="D645" s="320" t="s">
        <v>465</v>
      </c>
      <c r="E645" s="322">
        <f>1860000</f>
        <v>1860000</v>
      </c>
      <c r="F645" s="279"/>
      <c r="G645" s="273">
        <f t="shared" si="92"/>
        <v>1860000</v>
      </c>
      <c r="H645" s="281">
        <v>1000000</v>
      </c>
      <c r="I645" s="280">
        <f t="shared" si="89"/>
        <v>1050000</v>
      </c>
      <c r="J645" s="280">
        <f t="shared" si="88"/>
        <v>1102500</v>
      </c>
    </row>
    <row r="646" spans="1:10">
      <c r="A646" s="286"/>
      <c r="B646" s="319"/>
      <c r="C646" s="319"/>
      <c r="D646" s="320" t="s">
        <v>466</v>
      </c>
      <c r="E646" s="322">
        <f>620000</f>
        <v>620000</v>
      </c>
      <c r="F646" s="279"/>
      <c r="G646" s="273">
        <f t="shared" si="92"/>
        <v>620000</v>
      </c>
      <c r="H646" s="281">
        <v>2000000</v>
      </c>
      <c r="I646" s="280">
        <f t="shared" si="89"/>
        <v>2100000</v>
      </c>
      <c r="J646" s="280">
        <f t="shared" si="88"/>
        <v>2205000</v>
      </c>
    </row>
    <row r="647" spans="1:10">
      <c r="A647" s="286"/>
      <c r="B647" s="319"/>
      <c r="C647" s="319"/>
      <c r="D647" s="320" t="s">
        <v>467</v>
      </c>
      <c r="E647" s="322"/>
      <c r="F647" s="279"/>
      <c r="G647" s="273">
        <f t="shared" si="92"/>
        <v>0</v>
      </c>
      <c r="H647" s="281">
        <v>200000</v>
      </c>
      <c r="I647" s="280">
        <f t="shared" si="89"/>
        <v>210000</v>
      </c>
      <c r="J647" s="280">
        <f t="shared" si="88"/>
        <v>220500</v>
      </c>
    </row>
    <row r="648" spans="1:10">
      <c r="A648" s="286"/>
      <c r="B648" s="319"/>
      <c r="C648" s="319"/>
      <c r="D648" s="320" t="s">
        <v>468</v>
      </c>
      <c r="E648" s="322">
        <f>62000</f>
        <v>62000</v>
      </c>
      <c r="F648" s="279"/>
      <c r="G648" s="273">
        <f t="shared" si="92"/>
        <v>62000</v>
      </c>
      <c r="H648" s="281">
        <v>200000</v>
      </c>
      <c r="I648" s="280">
        <f t="shared" si="89"/>
        <v>210000</v>
      </c>
      <c r="J648" s="280">
        <f t="shared" si="88"/>
        <v>220500</v>
      </c>
    </row>
    <row r="649" spans="1:10">
      <c r="A649" s="286"/>
      <c r="B649" s="319"/>
      <c r="C649" s="319"/>
      <c r="D649" s="321" t="s">
        <v>469</v>
      </c>
      <c r="E649" s="375">
        <v>1240000</v>
      </c>
      <c r="F649" s="279"/>
      <c r="G649" s="273">
        <f t="shared" si="92"/>
        <v>1240000</v>
      </c>
      <c r="H649" s="281">
        <v>500000</v>
      </c>
      <c r="I649" s="280">
        <f t="shared" si="89"/>
        <v>525000</v>
      </c>
      <c r="J649" s="280">
        <f t="shared" si="88"/>
        <v>551250</v>
      </c>
    </row>
    <row r="650" spans="1:10">
      <c r="A650" s="286"/>
      <c r="B650" s="319"/>
      <c r="C650" s="319"/>
      <c r="D650" s="320" t="s">
        <v>470</v>
      </c>
      <c r="E650" s="375">
        <v>2480000</v>
      </c>
      <c r="F650" s="279"/>
      <c r="G650" s="273">
        <f t="shared" si="92"/>
        <v>2480000</v>
      </c>
      <c r="H650" s="281">
        <v>3000000</v>
      </c>
      <c r="I650" s="280">
        <f t="shared" si="89"/>
        <v>3150000</v>
      </c>
      <c r="J650" s="280">
        <f t="shared" si="88"/>
        <v>3307500</v>
      </c>
    </row>
    <row r="651" spans="1:10">
      <c r="A651" s="286"/>
      <c r="B651" s="319"/>
      <c r="C651" s="319"/>
      <c r="D651" s="313" t="s">
        <v>471</v>
      </c>
      <c r="E651" s="339">
        <v>620000</v>
      </c>
      <c r="F651" s="279"/>
      <c r="G651" s="273">
        <f t="shared" si="92"/>
        <v>620000</v>
      </c>
      <c r="H651" s="281">
        <v>300000</v>
      </c>
      <c r="I651" s="280">
        <f t="shared" si="89"/>
        <v>315000</v>
      </c>
      <c r="J651" s="280">
        <f t="shared" si="88"/>
        <v>330750</v>
      </c>
    </row>
    <row r="652" spans="1:10">
      <c r="A652" s="286"/>
      <c r="B652" s="319"/>
      <c r="C652" s="319"/>
      <c r="D652" s="313" t="s">
        <v>472</v>
      </c>
      <c r="E652" s="339">
        <v>310000</v>
      </c>
      <c r="F652" s="279"/>
      <c r="G652" s="273">
        <f t="shared" ref="G652:G679" si="93">E652+F652</f>
        <v>310000</v>
      </c>
      <c r="H652" s="281"/>
      <c r="I652" s="280">
        <f t="shared" si="89"/>
        <v>0</v>
      </c>
      <c r="J652" s="280">
        <f t="shared" si="88"/>
        <v>0</v>
      </c>
    </row>
    <row r="653" spans="1:10">
      <c r="A653" s="286"/>
      <c r="B653" s="319"/>
      <c r="C653" s="319"/>
      <c r="D653" s="313" t="s">
        <v>473</v>
      </c>
      <c r="E653" s="339">
        <v>930000</v>
      </c>
      <c r="F653" s="279"/>
      <c r="G653" s="273">
        <f t="shared" si="93"/>
        <v>930000</v>
      </c>
      <c r="H653" s="281">
        <v>1000000</v>
      </c>
      <c r="I653" s="280">
        <f t="shared" si="89"/>
        <v>1050000</v>
      </c>
      <c r="J653" s="280">
        <f t="shared" si="88"/>
        <v>1102500</v>
      </c>
    </row>
    <row r="654" spans="1:10">
      <c r="A654" s="286"/>
      <c r="B654" s="319"/>
      <c r="C654" s="319"/>
      <c r="D654" s="320" t="s">
        <v>474</v>
      </c>
      <c r="E654" s="339">
        <v>310000</v>
      </c>
      <c r="F654" s="279"/>
      <c r="G654" s="273">
        <f t="shared" si="93"/>
        <v>310000</v>
      </c>
      <c r="H654" s="281">
        <v>325500</v>
      </c>
      <c r="I654" s="280">
        <f t="shared" si="89"/>
        <v>341775</v>
      </c>
      <c r="J654" s="280">
        <f t="shared" ref="J654:J717" si="94">I654*1.05</f>
        <v>358863.75</v>
      </c>
    </row>
    <row r="655" spans="1:10">
      <c r="A655" s="286"/>
      <c r="B655" s="319"/>
      <c r="C655" s="319"/>
      <c r="D655" s="320" t="s">
        <v>359</v>
      </c>
      <c r="E655" s="322">
        <f>2000000</f>
        <v>2000000</v>
      </c>
      <c r="F655" s="279"/>
      <c r="G655" s="273">
        <f t="shared" si="93"/>
        <v>2000000</v>
      </c>
      <c r="H655" s="281">
        <v>162750</v>
      </c>
      <c r="I655" s="280">
        <f t="shared" si="89"/>
        <v>170887.5</v>
      </c>
      <c r="J655" s="280">
        <f t="shared" si="94"/>
        <v>179431.875</v>
      </c>
    </row>
    <row r="656" spans="1:10">
      <c r="A656" s="286"/>
      <c r="B656" s="319"/>
      <c r="C656" s="319"/>
      <c r="D656" s="320" t="s">
        <v>475</v>
      </c>
      <c r="E656" s="322">
        <f>155000</f>
        <v>155000</v>
      </c>
      <c r="F656" s="279"/>
      <c r="G656" s="273">
        <f t="shared" si="93"/>
        <v>155000</v>
      </c>
      <c r="H656" s="281">
        <v>15000000</v>
      </c>
      <c r="I656" s="280">
        <f t="shared" si="89"/>
        <v>15750000</v>
      </c>
      <c r="J656" s="280">
        <f t="shared" si="94"/>
        <v>16537500</v>
      </c>
    </row>
    <row r="657" spans="1:10">
      <c r="A657" s="286"/>
      <c r="B657" s="319"/>
      <c r="C657" s="319"/>
      <c r="D657" s="320" t="s">
        <v>476</v>
      </c>
      <c r="E657" s="322">
        <f>10000000</f>
        <v>10000000</v>
      </c>
      <c r="F657" s="279"/>
      <c r="G657" s="273">
        <f t="shared" si="93"/>
        <v>10000000</v>
      </c>
      <c r="I657" s="280">
        <f t="shared" si="89"/>
        <v>0</v>
      </c>
      <c r="J657" s="280">
        <f t="shared" si="94"/>
        <v>0</v>
      </c>
    </row>
    <row r="658" spans="1:10">
      <c r="A658" s="286"/>
      <c r="B658" s="319" t="s">
        <v>477</v>
      </c>
      <c r="C658" s="319"/>
      <c r="D658" s="320" t="s">
        <v>478</v>
      </c>
      <c r="E658" s="322">
        <v>500000</v>
      </c>
      <c r="F658" s="279"/>
      <c r="G658" s="273">
        <f t="shared" si="93"/>
        <v>500000</v>
      </c>
      <c r="H658" s="281">
        <v>1000000</v>
      </c>
      <c r="I658" s="280">
        <f t="shared" si="89"/>
        <v>1050000</v>
      </c>
      <c r="J658" s="280">
        <f t="shared" si="94"/>
        <v>1102500</v>
      </c>
    </row>
    <row r="659" spans="1:10">
      <c r="A659" s="286"/>
      <c r="B659" s="319"/>
      <c r="C659" s="319"/>
      <c r="D659" s="320" t="s">
        <v>205</v>
      </c>
      <c r="E659" s="322">
        <v>1550000</v>
      </c>
      <c r="F659" s="279">
        <v>0</v>
      </c>
      <c r="G659" s="273">
        <f t="shared" si="93"/>
        <v>1550000</v>
      </c>
      <c r="H659" s="281">
        <v>3000000</v>
      </c>
      <c r="I659" s="280">
        <f t="shared" si="89"/>
        <v>3150000</v>
      </c>
      <c r="J659" s="280">
        <f t="shared" si="94"/>
        <v>3307500</v>
      </c>
    </row>
    <row r="660" spans="1:10">
      <c r="A660" s="286"/>
      <c r="B660" s="319"/>
      <c r="C660" s="319"/>
      <c r="D660" s="320" t="s">
        <v>479</v>
      </c>
      <c r="E660" s="322">
        <v>310000</v>
      </c>
      <c r="F660" s="279"/>
      <c r="G660" s="273">
        <f t="shared" si="93"/>
        <v>310000</v>
      </c>
      <c r="H660" s="281">
        <v>1000000</v>
      </c>
      <c r="I660" s="280">
        <f t="shared" si="89"/>
        <v>1050000</v>
      </c>
      <c r="J660" s="280">
        <f t="shared" si="94"/>
        <v>1102500</v>
      </c>
    </row>
    <row r="661" spans="1:10">
      <c r="A661" s="286"/>
      <c r="B661" s="319"/>
      <c r="C661" s="319"/>
      <c r="D661" s="320" t="s">
        <v>480</v>
      </c>
      <c r="E661" s="322">
        <v>1860000</v>
      </c>
      <c r="F661" s="279"/>
      <c r="G661" s="273">
        <f t="shared" si="93"/>
        <v>1860000</v>
      </c>
      <c r="H661" s="281">
        <v>1000000</v>
      </c>
      <c r="I661" s="280">
        <f t="shared" si="89"/>
        <v>1050000</v>
      </c>
      <c r="J661" s="280">
        <f t="shared" si="94"/>
        <v>1102500</v>
      </c>
    </row>
    <row r="662" spans="1:10">
      <c r="A662" s="286"/>
      <c r="B662" s="319"/>
      <c r="C662" s="319"/>
      <c r="D662" s="320" t="s">
        <v>481</v>
      </c>
      <c r="E662" s="322">
        <v>1550000</v>
      </c>
      <c r="F662" s="279"/>
      <c r="G662" s="273">
        <f t="shared" si="93"/>
        <v>1550000</v>
      </c>
      <c r="H662" s="281">
        <v>1000000</v>
      </c>
      <c r="I662" s="280">
        <f t="shared" ref="I662:I725" si="95">H662*1.05</f>
        <v>1050000</v>
      </c>
      <c r="J662" s="280">
        <f t="shared" si="94"/>
        <v>1102500</v>
      </c>
    </row>
    <row r="663" ht="42" spans="1:10">
      <c r="A663" s="286"/>
      <c r="B663" s="319"/>
      <c r="C663" s="319"/>
      <c r="D663" s="320" t="s">
        <v>251</v>
      </c>
      <c r="E663" s="322"/>
      <c r="F663" s="279"/>
      <c r="G663" s="273"/>
      <c r="H663" s="281">
        <v>200000</v>
      </c>
      <c r="I663" s="280">
        <f t="shared" si="95"/>
        <v>210000</v>
      </c>
      <c r="J663" s="280">
        <f t="shared" si="94"/>
        <v>220500</v>
      </c>
    </row>
    <row r="664" spans="1:10">
      <c r="A664" s="286"/>
      <c r="B664" s="319"/>
      <c r="C664" s="319"/>
      <c r="D664" s="320" t="s">
        <v>482</v>
      </c>
      <c r="E664" s="322">
        <v>1000000</v>
      </c>
      <c r="F664" s="279"/>
      <c r="G664" s="273">
        <f t="shared" si="93"/>
        <v>1000000</v>
      </c>
      <c r="H664" s="281">
        <v>1050000</v>
      </c>
      <c r="I664" s="280">
        <f t="shared" si="95"/>
        <v>1102500</v>
      </c>
      <c r="J664" s="280">
        <f t="shared" si="94"/>
        <v>1157625</v>
      </c>
    </row>
    <row r="665" spans="1:10">
      <c r="A665" s="286"/>
      <c r="B665" s="319"/>
      <c r="C665" s="319"/>
      <c r="D665" s="320" t="s">
        <v>483</v>
      </c>
      <c r="E665" s="322">
        <v>1000000</v>
      </c>
      <c r="F665" s="279"/>
      <c r="G665" s="273">
        <f t="shared" si="93"/>
        <v>1000000</v>
      </c>
      <c r="H665" s="281">
        <v>1050000</v>
      </c>
      <c r="I665" s="280">
        <f t="shared" si="95"/>
        <v>1102500</v>
      </c>
      <c r="J665" s="280">
        <f t="shared" si="94"/>
        <v>1157625</v>
      </c>
    </row>
    <row r="666" spans="1:10">
      <c r="A666" s="286"/>
      <c r="B666" s="319"/>
      <c r="C666" s="319"/>
      <c r="D666" s="320" t="s">
        <v>424</v>
      </c>
      <c r="E666" s="322"/>
      <c r="F666" s="279"/>
      <c r="G666" s="273"/>
      <c r="H666" s="281">
        <v>300000</v>
      </c>
      <c r="I666" s="280">
        <f t="shared" si="95"/>
        <v>315000</v>
      </c>
      <c r="J666" s="280">
        <f t="shared" si="94"/>
        <v>330750</v>
      </c>
    </row>
    <row r="667" spans="1:10">
      <c r="A667" s="286"/>
      <c r="B667" s="319"/>
      <c r="C667" s="319"/>
      <c r="D667" s="320" t="s">
        <v>484</v>
      </c>
      <c r="E667" s="322">
        <v>2480000</v>
      </c>
      <c r="F667" s="279"/>
      <c r="G667" s="273">
        <f t="shared" si="93"/>
        <v>2480000</v>
      </c>
      <c r="H667" s="281">
        <f>1000000</f>
        <v>1000000</v>
      </c>
      <c r="I667" s="280">
        <f t="shared" si="95"/>
        <v>1050000</v>
      </c>
      <c r="J667" s="280">
        <f t="shared" si="94"/>
        <v>1102500</v>
      </c>
    </row>
    <row r="668" spans="1:10">
      <c r="A668" s="286"/>
      <c r="B668" s="319"/>
      <c r="C668" s="319"/>
      <c r="D668" s="320" t="s">
        <v>485</v>
      </c>
      <c r="E668" s="322">
        <v>1860000</v>
      </c>
      <c r="F668" s="279"/>
      <c r="G668" s="273">
        <f t="shared" si="93"/>
        <v>1860000</v>
      </c>
      <c r="H668" s="281">
        <v>1500000</v>
      </c>
      <c r="I668" s="280">
        <f t="shared" si="95"/>
        <v>1575000</v>
      </c>
      <c r="J668" s="280">
        <f t="shared" si="94"/>
        <v>1653750</v>
      </c>
    </row>
    <row r="669" spans="1:10">
      <c r="A669" s="286"/>
      <c r="B669" s="319"/>
      <c r="C669" s="319"/>
      <c r="D669" s="320" t="s">
        <v>486</v>
      </c>
      <c r="E669" s="322">
        <v>3100000</v>
      </c>
      <c r="F669" s="279"/>
      <c r="G669" s="273">
        <f t="shared" si="93"/>
        <v>3100000</v>
      </c>
      <c r="H669" s="281">
        <v>3000000</v>
      </c>
      <c r="I669" s="280">
        <f t="shared" si="95"/>
        <v>3150000</v>
      </c>
      <c r="J669" s="280">
        <f t="shared" si="94"/>
        <v>3307500</v>
      </c>
    </row>
    <row r="670" spans="1:10">
      <c r="A670" s="286"/>
      <c r="B670" s="319"/>
      <c r="C670" s="319"/>
      <c r="D670" s="320" t="s">
        <v>487</v>
      </c>
      <c r="E670" s="322">
        <v>310000</v>
      </c>
      <c r="F670" s="279"/>
      <c r="G670" s="273">
        <f t="shared" si="93"/>
        <v>310000</v>
      </c>
      <c r="H670" s="281">
        <v>325500</v>
      </c>
      <c r="I670" s="280">
        <f t="shared" si="95"/>
        <v>341775</v>
      </c>
      <c r="J670" s="280">
        <f t="shared" si="94"/>
        <v>358863.75</v>
      </c>
    </row>
    <row r="671" spans="1:10">
      <c r="A671" s="286"/>
      <c r="B671" s="319"/>
      <c r="C671" s="319"/>
      <c r="D671" s="320" t="s">
        <v>488</v>
      </c>
      <c r="E671" s="322">
        <v>2100000</v>
      </c>
      <c r="F671" s="279"/>
      <c r="G671" s="273">
        <f t="shared" si="93"/>
        <v>2100000</v>
      </c>
      <c r="H671" s="281">
        <v>2205000</v>
      </c>
      <c r="I671" s="280">
        <f t="shared" si="95"/>
        <v>2315250</v>
      </c>
      <c r="J671" s="280">
        <f t="shared" si="94"/>
        <v>2431012.5</v>
      </c>
    </row>
    <row r="672" spans="1:10">
      <c r="A672" s="286"/>
      <c r="B672" s="319"/>
      <c r="C672" s="319"/>
      <c r="D672" s="320" t="s">
        <v>489</v>
      </c>
      <c r="E672" s="322">
        <v>620000</v>
      </c>
      <c r="F672" s="279"/>
      <c r="G672" s="273">
        <f t="shared" si="93"/>
        <v>620000</v>
      </c>
      <c r="H672" s="281">
        <v>651000</v>
      </c>
      <c r="I672" s="280">
        <f t="shared" si="95"/>
        <v>683550</v>
      </c>
      <c r="J672" s="280">
        <f t="shared" si="94"/>
        <v>717727.5</v>
      </c>
    </row>
    <row r="673" spans="1:10">
      <c r="A673" s="286"/>
      <c r="B673" s="319"/>
      <c r="C673" s="319"/>
      <c r="D673" s="320" t="s">
        <v>490</v>
      </c>
      <c r="E673" s="322">
        <v>620000</v>
      </c>
      <c r="F673" s="279"/>
      <c r="G673" s="273">
        <f t="shared" si="93"/>
        <v>620000</v>
      </c>
      <c r="H673" s="281">
        <v>651000</v>
      </c>
      <c r="I673" s="280">
        <f t="shared" si="95"/>
        <v>683550</v>
      </c>
      <c r="J673" s="280">
        <f t="shared" si="94"/>
        <v>717727.5</v>
      </c>
    </row>
    <row r="674" spans="1:10">
      <c r="A674" s="286"/>
      <c r="B674" s="319"/>
      <c r="C674" s="319"/>
      <c r="D674" s="320" t="s">
        <v>491</v>
      </c>
      <c r="E674" s="322">
        <v>620000</v>
      </c>
      <c r="F674" s="279"/>
      <c r="G674" s="273">
        <f t="shared" si="93"/>
        <v>620000</v>
      </c>
      <c r="H674" s="281">
        <v>651000</v>
      </c>
      <c r="I674" s="280">
        <f t="shared" si="95"/>
        <v>683550</v>
      </c>
      <c r="J674" s="280">
        <f t="shared" si="94"/>
        <v>717727.5</v>
      </c>
    </row>
    <row r="675" ht="0.75" customHeight="1" spans="1:10">
      <c r="A675" s="286"/>
      <c r="B675" s="319"/>
      <c r="C675" s="319"/>
      <c r="D675" s="320"/>
      <c r="E675" s="322">
        <v>0</v>
      </c>
      <c r="F675" s="279"/>
      <c r="G675" s="273">
        <f t="shared" si="93"/>
        <v>0</v>
      </c>
      <c r="H675" s="281">
        <v>0</v>
      </c>
      <c r="I675" s="280">
        <f t="shared" si="95"/>
        <v>0</v>
      </c>
      <c r="J675" s="280">
        <f t="shared" si="94"/>
        <v>0</v>
      </c>
    </row>
    <row r="676" spans="1:10">
      <c r="A676" s="286"/>
      <c r="B676" s="319"/>
      <c r="C676" s="319"/>
      <c r="D676" s="320" t="s">
        <v>492</v>
      </c>
      <c r="E676" s="322">
        <v>1000000</v>
      </c>
      <c r="F676" s="279"/>
      <c r="G676" s="273">
        <f t="shared" si="93"/>
        <v>1000000</v>
      </c>
      <c r="H676" s="281">
        <v>1050000</v>
      </c>
      <c r="I676" s="280">
        <f t="shared" si="95"/>
        <v>1102500</v>
      </c>
      <c r="J676" s="280">
        <f t="shared" si="94"/>
        <v>1157625</v>
      </c>
    </row>
    <row r="677" spans="1:10">
      <c r="A677" s="286"/>
      <c r="B677" s="319"/>
      <c r="C677" s="319"/>
      <c r="D677" s="320" t="s">
        <v>493</v>
      </c>
      <c r="E677" s="322">
        <v>2000000</v>
      </c>
      <c r="F677" s="279"/>
      <c r="G677" s="273">
        <f t="shared" si="93"/>
        <v>2000000</v>
      </c>
      <c r="H677" s="281">
        <v>2100000</v>
      </c>
      <c r="I677" s="280">
        <f t="shared" si="95"/>
        <v>2205000</v>
      </c>
      <c r="J677" s="280">
        <f t="shared" si="94"/>
        <v>2315250</v>
      </c>
    </row>
    <row r="678" spans="1:10">
      <c r="A678" s="286"/>
      <c r="B678" s="319"/>
      <c r="C678" s="319"/>
      <c r="D678" s="320" t="s">
        <v>494</v>
      </c>
      <c r="E678" s="322">
        <v>1000000</v>
      </c>
      <c r="F678" s="279"/>
      <c r="G678" s="273">
        <f t="shared" si="93"/>
        <v>1000000</v>
      </c>
      <c r="H678" s="281">
        <v>1050000</v>
      </c>
      <c r="I678" s="280">
        <f t="shared" si="95"/>
        <v>1102500</v>
      </c>
      <c r="J678" s="280">
        <f t="shared" si="94"/>
        <v>1157625</v>
      </c>
    </row>
    <row r="679" spans="1:10">
      <c r="A679" s="286"/>
      <c r="B679" s="319"/>
      <c r="C679" s="319"/>
      <c r="D679" s="320" t="s">
        <v>495</v>
      </c>
      <c r="E679" s="322">
        <v>620000</v>
      </c>
      <c r="F679" s="279"/>
      <c r="G679" s="273">
        <f t="shared" si="93"/>
        <v>620000</v>
      </c>
      <c r="H679" s="281">
        <v>651000</v>
      </c>
      <c r="I679" s="280">
        <f t="shared" si="95"/>
        <v>683550</v>
      </c>
      <c r="J679" s="280">
        <f t="shared" si="94"/>
        <v>717727.5</v>
      </c>
    </row>
    <row r="680" spans="1:10">
      <c r="A680" s="376"/>
      <c r="B680" s="377" t="s">
        <v>162</v>
      </c>
      <c r="C680" s="378"/>
      <c r="D680" s="379"/>
      <c r="E680" s="310">
        <f t="shared" ref="E680:J680" si="96">SUM(E618:E679)</f>
        <v>997082478</v>
      </c>
      <c r="F680" s="311">
        <f t="shared" si="96"/>
        <v>38250000</v>
      </c>
      <c r="G680" s="312">
        <f t="shared" si="96"/>
        <v>1035332478</v>
      </c>
      <c r="H680" s="380">
        <f t="shared" si="96"/>
        <v>1414173110</v>
      </c>
      <c r="I680" s="309">
        <f t="shared" si="96"/>
        <v>1350481765.5</v>
      </c>
      <c r="J680" s="309">
        <f t="shared" si="96"/>
        <v>1418005853.775</v>
      </c>
    </row>
    <row r="681" spans="1:10">
      <c r="A681" s="314"/>
      <c r="B681" s="315"/>
      <c r="C681" s="315"/>
      <c r="D681" s="315"/>
      <c r="E681" s="315"/>
      <c r="F681" s="279"/>
      <c r="G681" s="280"/>
      <c r="H681" s="281"/>
      <c r="I681" s="280"/>
      <c r="J681" s="280"/>
    </row>
    <row r="682" spans="1:10">
      <c r="A682" s="381"/>
      <c r="B682" s="382" t="s">
        <v>496</v>
      </c>
      <c r="C682" s="382"/>
      <c r="D682" s="382"/>
      <c r="E682" s="382"/>
      <c r="F682" s="382"/>
      <c r="G682" s="382"/>
      <c r="H682" s="383"/>
      <c r="I682" s="389"/>
      <c r="J682" s="389"/>
    </row>
    <row r="683" spans="1:10">
      <c r="A683" s="286"/>
      <c r="B683" s="319" t="s">
        <v>165</v>
      </c>
      <c r="C683" s="355">
        <v>2110101</v>
      </c>
      <c r="D683" s="321" t="s">
        <v>497</v>
      </c>
      <c r="E683" s="271">
        <v>51500000</v>
      </c>
      <c r="F683" s="279"/>
      <c r="G683" s="273">
        <f t="shared" ref="G683:G699" si="97">E683+F683</f>
        <v>51500000</v>
      </c>
      <c r="H683" s="281">
        <f>50000000</f>
        <v>50000000</v>
      </c>
      <c r="I683" s="280">
        <f t="shared" si="95"/>
        <v>52500000</v>
      </c>
      <c r="J683" s="280">
        <f t="shared" si="94"/>
        <v>55125000</v>
      </c>
    </row>
    <row r="684" spans="1:10">
      <c r="A684" s="286"/>
      <c r="B684" s="319"/>
      <c r="C684" s="355">
        <v>2210302</v>
      </c>
      <c r="D684" s="321" t="s">
        <v>498</v>
      </c>
      <c r="E684" s="271">
        <v>1000000</v>
      </c>
      <c r="F684" s="279">
        <v>1200000</v>
      </c>
      <c r="G684" s="273">
        <f t="shared" si="97"/>
        <v>2200000</v>
      </c>
      <c r="H684" s="281">
        <v>1550000</v>
      </c>
      <c r="I684" s="280">
        <f t="shared" si="95"/>
        <v>1627500</v>
      </c>
      <c r="J684" s="280">
        <f t="shared" si="94"/>
        <v>1708875</v>
      </c>
    </row>
    <row r="685" spans="1:10">
      <c r="A685" s="286"/>
      <c r="B685" s="319"/>
      <c r="C685" s="355">
        <v>2210502</v>
      </c>
      <c r="D685" s="321" t="s">
        <v>379</v>
      </c>
      <c r="E685" s="271">
        <v>220000</v>
      </c>
      <c r="F685" s="279">
        <v>0</v>
      </c>
      <c r="G685" s="273">
        <f t="shared" si="97"/>
        <v>220000</v>
      </c>
      <c r="H685" s="281">
        <v>220000</v>
      </c>
      <c r="I685" s="280">
        <f t="shared" si="95"/>
        <v>231000</v>
      </c>
      <c r="J685" s="280">
        <f t="shared" si="94"/>
        <v>242550</v>
      </c>
    </row>
    <row r="686" spans="1:10">
      <c r="A686" s="286"/>
      <c r="B686" s="319"/>
      <c r="C686" s="355">
        <v>2210802</v>
      </c>
      <c r="D686" s="321" t="s">
        <v>499</v>
      </c>
      <c r="E686" s="271">
        <v>1000000</v>
      </c>
      <c r="F686" s="279"/>
      <c r="G686" s="273">
        <f t="shared" si="97"/>
        <v>1000000</v>
      </c>
      <c r="H686" s="281">
        <v>3200000</v>
      </c>
      <c r="I686" s="280">
        <f t="shared" si="95"/>
        <v>3360000</v>
      </c>
      <c r="J686" s="280">
        <f t="shared" si="94"/>
        <v>3528000</v>
      </c>
    </row>
    <row r="687" spans="1:10">
      <c r="A687" s="286"/>
      <c r="B687" s="319"/>
      <c r="C687" s="355">
        <v>2210899</v>
      </c>
      <c r="D687" s="321" t="s">
        <v>467</v>
      </c>
      <c r="E687" s="271">
        <v>570000</v>
      </c>
      <c r="F687" s="279"/>
      <c r="G687" s="273">
        <f t="shared" si="97"/>
        <v>570000</v>
      </c>
      <c r="H687" s="281">
        <v>570362</v>
      </c>
      <c r="I687" s="280">
        <f t="shared" si="95"/>
        <v>598880.1</v>
      </c>
      <c r="J687" s="280">
        <f t="shared" si="94"/>
        <v>628824.105</v>
      </c>
    </row>
    <row r="688" spans="1:10">
      <c r="A688" s="286"/>
      <c r="B688" s="319"/>
      <c r="C688" s="355"/>
      <c r="D688" s="320" t="s">
        <v>500</v>
      </c>
      <c r="E688" s="271">
        <v>14000000</v>
      </c>
      <c r="F688" s="279">
        <v>-14000000</v>
      </c>
      <c r="G688" s="273">
        <f t="shared" si="97"/>
        <v>0</v>
      </c>
      <c r="H688" s="281"/>
      <c r="I688" s="280">
        <f t="shared" si="95"/>
        <v>0</v>
      </c>
      <c r="J688" s="280">
        <f t="shared" si="94"/>
        <v>0</v>
      </c>
    </row>
    <row r="689" spans="1:10">
      <c r="A689" s="286"/>
      <c r="B689" s="319"/>
      <c r="C689" s="355">
        <v>2210504</v>
      </c>
      <c r="D689" s="320" t="s">
        <v>501</v>
      </c>
      <c r="E689" s="271">
        <f>330000</f>
        <v>330000</v>
      </c>
      <c r="F689" s="279">
        <v>37233</v>
      </c>
      <c r="G689" s="273">
        <f t="shared" si="97"/>
        <v>367233</v>
      </c>
      <c r="H689" s="281">
        <v>367233</v>
      </c>
      <c r="I689" s="280">
        <f t="shared" si="95"/>
        <v>385594.65</v>
      </c>
      <c r="J689" s="280">
        <f t="shared" si="94"/>
        <v>404874.3825</v>
      </c>
    </row>
    <row r="690" spans="1:10">
      <c r="A690" s="286"/>
      <c r="B690" s="319"/>
      <c r="C690" s="355">
        <v>2211101</v>
      </c>
      <c r="D690" s="321" t="s">
        <v>502</v>
      </c>
      <c r="E690" s="271"/>
      <c r="F690" s="279"/>
      <c r="G690" s="273">
        <f t="shared" si="97"/>
        <v>0</v>
      </c>
      <c r="H690" s="281">
        <v>571000</v>
      </c>
      <c r="I690" s="280">
        <f t="shared" si="95"/>
        <v>599550</v>
      </c>
      <c r="J690" s="280">
        <f t="shared" si="94"/>
        <v>629527.5</v>
      </c>
    </row>
    <row r="691" spans="1:10">
      <c r="A691" s="286"/>
      <c r="B691" s="319"/>
      <c r="C691" s="355">
        <v>2211199</v>
      </c>
      <c r="D691" s="321" t="s">
        <v>503</v>
      </c>
      <c r="E691" s="271">
        <v>1000000</v>
      </c>
      <c r="F691" s="279"/>
      <c r="G691" s="273">
        <f t="shared" si="97"/>
        <v>1000000</v>
      </c>
      <c r="H691" s="281">
        <v>1000000</v>
      </c>
      <c r="I691" s="280">
        <f t="shared" si="95"/>
        <v>1050000</v>
      </c>
      <c r="J691" s="280">
        <f t="shared" si="94"/>
        <v>1102500</v>
      </c>
    </row>
    <row r="692" spans="1:10">
      <c r="A692" s="286"/>
      <c r="B692" s="319"/>
      <c r="C692" s="355"/>
      <c r="D692" s="321" t="s">
        <v>504</v>
      </c>
      <c r="E692" s="271">
        <v>500000</v>
      </c>
      <c r="F692" s="279"/>
      <c r="G692" s="273">
        <f t="shared" si="97"/>
        <v>500000</v>
      </c>
      <c r="H692" s="281"/>
      <c r="I692" s="280">
        <f t="shared" si="95"/>
        <v>0</v>
      </c>
      <c r="J692" s="280">
        <f t="shared" si="94"/>
        <v>0</v>
      </c>
    </row>
    <row r="693" spans="1:10">
      <c r="A693" s="286"/>
      <c r="B693" s="366" t="s">
        <v>505</v>
      </c>
      <c r="C693" s="384">
        <v>2210309</v>
      </c>
      <c r="D693" s="385" t="s">
        <v>97</v>
      </c>
      <c r="E693" s="322">
        <f>1000000</f>
        <v>1000000</v>
      </c>
      <c r="F693" s="279"/>
      <c r="G693" s="273">
        <f t="shared" si="97"/>
        <v>1000000</v>
      </c>
      <c r="H693" s="281">
        <v>919000</v>
      </c>
      <c r="I693" s="280">
        <f t="shared" si="95"/>
        <v>964950</v>
      </c>
      <c r="J693" s="280">
        <f t="shared" si="94"/>
        <v>1013197.5</v>
      </c>
    </row>
    <row r="694" spans="1:10">
      <c r="A694" s="286"/>
      <c r="B694" s="367"/>
      <c r="C694" s="384"/>
      <c r="D694" s="385" t="s">
        <v>506</v>
      </c>
      <c r="E694" s="322"/>
      <c r="F694" s="279"/>
      <c r="G694" s="273">
        <f t="shared" si="97"/>
        <v>0</v>
      </c>
      <c r="H694" s="281"/>
      <c r="I694" s="280">
        <f t="shared" si="95"/>
        <v>0</v>
      </c>
      <c r="J694" s="280">
        <f t="shared" si="94"/>
        <v>0</v>
      </c>
    </row>
    <row r="695" spans="1:10">
      <c r="A695" s="286"/>
      <c r="B695" s="367"/>
      <c r="C695" s="384"/>
      <c r="D695" s="385" t="s">
        <v>507</v>
      </c>
      <c r="E695" s="322"/>
      <c r="F695" s="279"/>
      <c r="G695" s="273">
        <f t="shared" si="97"/>
        <v>0</v>
      </c>
      <c r="H695" s="281"/>
      <c r="I695" s="280">
        <f t="shared" si="95"/>
        <v>0</v>
      </c>
      <c r="J695" s="280">
        <f t="shared" si="94"/>
        <v>0</v>
      </c>
    </row>
    <row r="696" spans="1:10">
      <c r="A696" s="286"/>
      <c r="B696" s="367"/>
      <c r="C696" s="384">
        <v>2211299</v>
      </c>
      <c r="D696" s="270" t="s">
        <v>129</v>
      </c>
      <c r="E696" s="322">
        <f>500000</f>
        <v>500000</v>
      </c>
      <c r="F696" s="279"/>
      <c r="G696" s="273">
        <f t="shared" si="97"/>
        <v>500000</v>
      </c>
      <c r="H696" s="281">
        <v>500000</v>
      </c>
      <c r="I696" s="280">
        <f t="shared" si="95"/>
        <v>525000</v>
      </c>
      <c r="J696" s="280">
        <f t="shared" si="94"/>
        <v>551250</v>
      </c>
    </row>
    <row r="697" spans="1:10">
      <c r="A697" s="286"/>
      <c r="B697" s="367"/>
      <c r="C697" s="384">
        <v>2220101</v>
      </c>
      <c r="D697" s="270" t="s">
        <v>508</v>
      </c>
      <c r="E697" s="322">
        <f>450000</f>
        <v>450000</v>
      </c>
      <c r="F697" s="279">
        <v>0</v>
      </c>
      <c r="G697" s="273">
        <f t="shared" si="97"/>
        <v>450000</v>
      </c>
      <c r="H697" s="281">
        <v>450000</v>
      </c>
      <c r="I697" s="280">
        <f t="shared" si="95"/>
        <v>472500</v>
      </c>
      <c r="J697" s="280">
        <f t="shared" si="94"/>
        <v>496125</v>
      </c>
    </row>
    <row r="698" spans="1:10">
      <c r="A698" s="286"/>
      <c r="B698" s="367"/>
      <c r="C698" s="384">
        <v>2210799</v>
      </c>
      <c r="D698" s="270" t="s">
        <v>509</v>
      </c>
      <c r="E698" s="322">
        <v>0</v>
      </c>
      <c r="F698" s="279"/>
      <c r="G698" s="273">
        <f t="shared" si="97"/>
        <v>0</v>
      </c>
      <c r="H698" s="281">
        <v>550000</v>
      </c>
      <c r="I698" s="280">
        <f t="shared" si="95"/>
        <v>577500</v>
      </c>
      <c r="J698" s="280">
        <f t="shared" si="94"/>
        <v>606375</v>
      </c>
    </row>
    <row r="699" spans="1:10">
      <c r="A699" s="286"/>
      <c r="B699" s="368"/>
      <c r="C699" s="384">
        <v>2210302</v>
      </c>
      <c r="D699" s="270" t="s">
        <v>416</v>
      </c>
      <c r="E699" s="322"/>
      <c r="F699" s="279"/>
      <c r="G699" s="273">
        <f t="shared" si="97"/>
        <v>0</v>
      </c>
      <c r="H699" s="281">
        <v>1000000</v>
      </c>
      <c r="I699" s="280">
        <f t="shared" si="95"/>
        <v>1050000</v>
      </c>
      <c r="J699" s="280">
        <f t="shared" si="94"/>
        <v>1102500</v>
      </c>
    </row>
    <row r="700" spans="1:10">
      <c r="A700" s="286"/>
      <c r="B700" s="386" t="s">
        <v>510</v>
      </c>
      <c r="C700" s="384">
        <v>2110299</v>
      </c>
      <c r="D700" s="270" t="s">
        <v>434</v>
      </c>
      <c r="E700" s="322"/>
      <c r="F700" s="279"/>
      <c r="G700" s="273"/>
      <c r="H700" s="281">
        <f>490000</f>
        <v>490000</v>
      </c>
      <c r="I700" s="280">
        <f t="shared" si="95"/>
        <v>514500</v>
      </c>
      <c r="J700" s="280">
        <f t="shared" si="94"/>
        <v>540225</v>
      </c>
    </row>
    <row r="701" spans="1:10">
      <c r="A701" s="286"/>
      <c r="B701" s="386"/>
      <c r="C701" s="384">
        <v>2211399</v>
      </c>
      <c r="D701" s="270" t="s">
        <v>435</v>
      </c>
      <c r="E701" s="322"/>
      <c r="F701" s="279"/>
      <c r="G701" s="273"/>
      <c r="H701" s="281">
        <f>450000</f>
        <v>450000</v>
      </c>
      <c r="I701" s="280">
        <f t="shared" si="95"/>
        <v>472500</v>
      </c>
      <c r="J701" s="280">
        <f t="shared" si="94"/>
        <v>496125</v>
      </c>
    </row>
    <row r="702" spans="1:10">
      <c r="A702" s="286"/>
      <c r="B702" s="387" t="s">
        <v>511</v>
      </c>
      <c r="C702" s="384">
        <v>2210399</v>
      </c>
      <c r="D702" s="270" t="s">
        <v>512</v>
      </c>
      <c r="E702" s="322"/>
      <c r="F702" s="279"/>
      <c r="G702" s="273"/>
      <c r="H702" s="281">
        <f>250000</f>
        <v>250000</v>
      </c>
      <c r="I702" s="280">
        <f t="shared" si="95"/>
        <v>262500</v>
      </c>
      <c r="J702" s="280">
        <f t="shared" si="94"/>
        <v>275625</v>
      </c>
    </row>
    <row r="703" spans="1:10">
      <c r="A703" s="286"/>
      <c r="B703" s="388"/>
      <c r="C703" s="384">
        <v>2211199</v>
      </c>
      <c r="D703" s="270" t="s">
        <v>513</v>
      </c>
      <c r="E703" s="322"/>
      <c r="F703" s="279"/>
      <c r="G703" s="273"/>
      <c r="H703" s="281">
        <f>125000</f>
        <v>125000</v>
      </c>
      <c r="I703" s="280">
        <f t="shared" si="95"/>
        <v>131250</v>
      </c>
      <c r="J703" s="280">
        <f t="shared" si="94"/>
        <v>137812.5</v>
      </c>
    </row>
    <row r="704" spans="1:10">
      <c r="A704" s="286"/>
      <c r="B704" s="388"/>
      <c r="C704" s="384">
        <v>2210399</v>
      </c>
      <c r="D704" s="270" t="s">
        <v>514</v>
      </c>
      <c r="E704" s="322"/>
      <c r="F704" s="279"/>
      <c r="G704" s="273"/>
      <c r="H704" s="281">
        <f>750000</f>
        <v>750000</v>
      </c>
      <c r="I704" s="280">
        <f t="shared" si="95"/>
        <v>787500</v>
      </c>
      <c r="J704" s="280">
        <f t="shared" si="94"/>
        <v>826875</v>
      </c>
    </row>
    <row r="705" spans="1:10">
      <c r="A705" s="376"/>
      <c r="B705" s="377" t="s">
        <v>162</v>
      </c>
      <c r="C705" s="378"/>
      <c r="D705" s="379"/>
      <c r="E705" s="310">
        <f>SUM(E683:E704)</f>
        <v>72070000</v>
      </c>
      <c r="F705" s="311">
        <f>SUM(F683:F704)</f>
        <v>-12762767</v>
      </c>
      <c r="G705" s="312">
        <f>SUM(G683:G704)</f>
        <v>59307233</v>
      </c>
      <c r="H705" s="380">
        <f>SUM(H683:H704)</f>
        <v>62962595</v>
      </c>
      <c r="I705" s="309">
        <f t="shared" ref="I705:J705" si="98">SUM(I683:I704)</f>
        <v>66110724.75</v>
      </c>
      <c r="J705" s="309">
        <f t="shared" si="98"/>
        <v>69416260.9875</v>
      </c>
    </row>
    <row r="706" spans="1:10">
      <c r="A706" s="390"/>
      <c r="B706" s="391"/>
      <c r="C706" s="391"/>
      <c r="D706" s="391"/>
      <c r="E706" s="391"/>
      <c r="F706" s="279"/>
      <c r="G706" s="280"/>
      <c r="H706" s="281"/>
      <c r="I706" s="280"/>
      <c r="J706" s="280"/>
    </row>
    <row r="707" ht="20.1" customHeight="1" spans="1:10">
      <c r="A707" s="359" t="s">
        <v>515</v>
      </c>
      <c r="B707" s="360" t="s">
        <v>516</v>
      </c>
      <c r="C707" s="360"/>
      <c r="D707" s="360"/>
      <c r="E707" s="360"/>
      <c r="F707" s="360"/>
      <c r="G707" s="360"/>
      <c r="H707" s="361"/>
      <c r="I707" s="324"/>
      <c r="J707" s="324"/>
    </row>
    <row r="708" spans="1:10">
      <c r="A708" s="392"/>
      <c r="B708" s="393" t="s">
        <v>517</v>
      </c>
      <c r="C708" s="394">
        <v>2110101</v>
      </c>
      <c r="D708" s="395" t="s">
        <v>518</v>
      </c>
      <c r="E708" s="396"/>
      <c r="F708" s="396"/>
      <c r="G708" s="397"/>
      <c r="H708" s="398">
        <v>18000000</v>
      </c>
      <c r="I708" s="280">
        <f t="shared" si="95"/>
        <v>18900000</v>
      </c>
      <c r="J708" s="280">
        <f t="shared" si="94"/>
        <v>19845000</v>
      </c>
    </row>
    <row r="709" spans="1:10">
      <c r="A709" s="392"/>
      <c r="B709" s="399"/>
      <c r="C709" s="394">
        <v>2210802</v>
      </c>
      <c r="D709" s="395" t="s">
        <v>499</v>
      </c>
      <c r="E709" s="396"/>
      <c r="F709" s="396"/>
      <c r="G709" s="397"/>
      <c r="H709" s="398">
        <v>3000000</v>
      </c>
      <c r="I709" s="280">
        <f t="shared" si="95"/>
        <v>3150000</v>
      </c>
      <c r="J709" s="280">
        <f t="shared" si="94"/>
        <v>3307500</v>
      </c>
    </row>
    <row r="710" spans="1:10">
      <c r="A710" s="392"/>
      <c r="B710" s="399"/>
      <c r="C710" s="394">
        <v>2211199</v>
      </c>
      <c r="D710" s="395" t="s">
        <v>200</v>
      </c>
      <c r="E710" s="396"/>
      <c r="F710" s="396"/>
      <c r="G710" s="397"/>
      <c r="H710" s="398">
        <v>500000</v>
      </c>
      <c r="I710" s="280">
        <f t="shared" si="95"/>
        <v>525000</v>
      </c>
      <c r="J710" s="280">
        <f t="shared" si="94"/>
        <v>551250</v>
      </c>
    </row>
    <row r="711" spans="1:10">
      <c r="A711" s="392"/>
      <c r="B711" s="399"/>
      <c r="C711" s="394">
        <v>2210102</v>
      </c>
      <c r="D711" s="395" t="s">
        <v>519</v>
      </c>
      <c r="E711" s="396"/>
      <c r="F711" s="396"/>
      <c r="G711" s="397"/>
      <c r="H711" s="398">
        <v>176200</v>
      </c>
      <c r="I711" s="280">
        <f t="shared" si="95"/>
        <v>185010</v>
      </c>
      <c r="J711" s="280">
        <f t="shared" si="94"/>
        <v>194260.5</v>
      </c>
    </row>
    <row r="712" spans="1:10">
      <c r="A712" s="392"/>
      <c r="B712" s="399"/>
      <c r="C712" s="394">
        <v>2210309</v>
      </c>
      <c r="D712" s="395" t="s">
        <v>97</v>
      </c>
      <c r="E712" s="396"/>
      <c r="F712" s="396"/>
      <c r="G712" s="397"/>
      <c r="H712" s="398">
        <v>750000</v>
      </c>
      <c r="I712" s="280">
        <f t="shared" si="95"/>
        <v>787500</v>
      </c>
      <c r="J712" s="280">
        <f t="shared" si="94"/>
        <v>826875</v>
      </c>
    </row>
    <row r="713" spans="1:10">
      <c r="A713" s="392"/>
      <c r="B713" s="399"/>
      <c r="C713" s="394">
        <v>2210899</v>
      </c>
      <c r="D713" s="395" t="s">
        <v>467</v>
      </c>
      <c r="E713" s="396"/>
      <c r="F713" s="396"/>
      <c r="G713" s="397"/>
      <c r="H713" s="398">
        <v>500000</v>
      </c>
      <c r="I713" s="280">
        <f t="shared" si="95"/>
        <v>525000</v>
      </c>
      <c r="J713" s="280">
        <f t="shared" si="94"/>
        <v>551250</v>
      </c>
    </row>
    <row r="714" spans="1:10">
      <c r="A714" s="392"/>
      <c r="B714" s="399"/>
      <c r="C714" s="394">
        <v>2210399</v>
      </c>
      <c r="D714" s="395" t="s">
        <v>520</v>
      </c>
      <c r="E714" s="396"/>
      <c r="F714" s="396"/>
      <c r="G714" s="397"/>
      <c r="H714" s="398">
        <v>1000000</v>
      </c>
      <c r="I714" s="280">
        <f t="shared" si="95"/>
        <v>1050000</v>
      </c>
      <c r="J714" s="280">
        <f t="shared" si="94"/>
        <v>1102500</v>
      </c>
    </row>
    <row r="715" ht="11.25" customHeight="1" spans="1:10">
      <c r="A715" s="392"/>
      <c r="B715" s="400"/>
      <c r="C715" s="401"/>
      <c r="D715" s="402"/>
      <c r="E715" s="396"/>
      <c r="F715" s="396"/>
      <c r="G715" s="397"/>
      <c r="H715" s="398"/>
      <c r="I715" s="280">
        <f t="shared" si="95"/>
        <v>0</v>
      </c>
      <c r="J715" s="280">
        <f t="shared" si="94"/>
        <v>0</v>
      </c>
    </row>
    <row r="716" ht="12.75" hidden="1" customHeight="1" spans="1:10">
      <c r="A716" s="392"/>
      <c r="B716" s="393" t="s">
        <v>521</v>
      </c>
      <c r="C716" s="403"/>
      <c r="D716" s="404"/>
      <c r="E716" s="396"/>
      <c r="F716" s="396"/>
      <c r="G716" s="397"/>
      <c r="H716" s="398">
        <v>0</v>
      </c>
      <c r="I716" s="280">
        <f t="shared" si="95"/>
        <v>0</v>
      </c>
      <c r="J716" s="280">
        <f t="shared" si="94"/>
        <v>0</v>
      </c>
    </row>
    <row r="717" spans="1:10">
      <c r="A717" s="392"/>
      <c r="B717" s="399"/>
      <c r="C717" s="405">
        <v>2211299</v>
      </c>
      <c r="D717" s="406" t="s">
        <v>129</v>
      </c>
      <c r="E717" s="396"/>
      <c r="F717" s="396"/>
      <c r="G717" s="397"/>
      <c r="H717" s="398">
        <v>350000</v>
      </c>
      <c r="I717" s="280">
        <f t="shared" si="95"/>
        <v>367500</v>
      </c>
      <c r="J717" s="280">
        <f t="shared" si="94"/>
        <v>385875</v>
      </c>
    </row>
    <row r="718" spans="1:10">
      <c r="A718" s="392"/>
      <c r="B718" s="399"/>
      <c r="C718" s="405">
        <v>2220105</v>
      </c>
      <c r="D718" s="406" t="s">
        <v>508</v>
      </c>
      <c r="E718" s="396"/>
      <c r="F718" s="396"/>
      <c r="G718" s="397"/>
      <c r="H718" s="398">
        <v>400000</v>
      </c>
      <c r="I718" s="280">
        <f t="shared" si="95"/>
        <v>420000</v>
      </c>
      <c r="J718" s="280">
        <f t="shared" ref="J718:J759" si="99">I718*1.05</f>
        <v>441000</v>
      </c>
    </row>
    <row r="719" spans="1:10">
      <c r="A719" s="392"/>
      <c r="B719" s="399"/>
      <c r="C719" s="405">
        <v>2210799</v>
      </c>
      <c r="D719" s="406" t="s">
        <v>522</v>
      </c>
      <c r="E719" s="396"/>
      <c r="F719" s="396"/>
      <c r="G719" s="397"/>
      <c r="H719" s="398">
        <v>300000</v>
      </c>
      <c r="I719" s="280">
        <f t="shared" si="95"/>
        <v>315000</v>
      </c>
      <c r="J719" s="280">
        <f t="shared" si="99"/>
        <v>330750</v>
      </c>
    </row>
    <row r="720" spans="1:10">
      <c r="A720" s="392"/>
      <c r="B720" s="400"/>
      <c r="C720" s="405">
        <v>2210302</v>
      </c>
      <c r="D720" s="402" t="s">
        <v>523</v>
      </c>
      <c r="E720" s="396"/>
      <c r="F720" s="396"/>
      <c r="G720" s="397"/>
      <c r="H720" s="398">
        <v>750000</v>
      </c>
      <c r="I720" s="280">
        <f t="shared" si="95"/>
        <v>787500</v>
      </c>
      <c r="J720" s="280">
        <f t="shared" si="99"/>
        <v>826875</v>
      </c>
    </row>
    <row r="721" spans="1:10">
      <c r="A721" s="392"/>
      <c r="B721" s="393" t="s">
        <v>524</v>
      </c>
      <c r="C721" s="394">
        <v>2110202</v>
      </c>
      <c r="D721" s="407" t="s">
        <v>434</v>
      </c>
      <c r="E721" s="396"/>
      <c r="F721" s="396"/>
      <c r="G721" s="397"/>
      <c r="H721" s="398">
        <v>350000</v>
      </c>
      <c r="I721" s="280">
        <f t="shared" si="95"/>
        <v>367500</v>
      </c>
      <c r="J721" s="280">
        <f t="shared" si="99"/>
        <v>385875</v>
      </c>
    </row>
    <row r="722" spans="1:10">
      <c r="A722" s="392"/>
      <c r="B722" s="400"/>
      <c r="C722" s="394">
        <v>2211399</v>
      </c>
      <c r="D722" s="407" t="s">
        <v>435</v>
      </c>
      <c r="E722" s="396"/>
      <c r="F722" s="396"/>
      <c r="G722" s="397"/>
      <c r="H722" s="398">
        <v>300000</v>
      </c>
      <c r="I722" s="280">
        <f t="shared" si="95"/>
        <v>315000</v>
      </c>
      <c r="J722" s="280">
        <f t="shared" si="99"/>
        <v>330750</v>
      </c>
    </row>
    <row r="723" spans="1:10">
      <c r="A723" s="392"/>
      <c r="B723" s="393" t="s">
        <v>511</v>
      </c>
      <c r="C723" s="394">
        <v>2210399</v>
      </c>
      <c r="D723" s="408" t="s">
        <v>512</v>
      </c>
      <c r="E723" s="396"/>
      <c r="F723" s="396"/>
      <c r="G723" s="397"/>
      <c r="H723" s="398">
        <v>73810</v>
      </c>
      <c r="I723" s="280">
        <f t="shared" si="95"/>
        <v>77500.5</v>
      </c>
      <c r="J723" s="280">
        <f t="shared" si="99"/>
        <v>81375.525</v>
      </c>
    </row>
    <row r="724" spans="1:10">
      <c r="A724" s="392"/>
      <c r="B724" s="399"/>
      <c r="C724" s="394">
        <v>2210399</v>
      </c>
      <c r="D724" s="408" t="s">
        <v>525</v>
      </c>
      <c r="E724" s="396"/>
      <c r="F724" s="396"/>
      <c r="G724" s="397"/>
      <c r="H724" s="398">
        <v>50000</v>
      </c>
      <c r="I724" s="280">
        <f t="shared" si="95"/>
        <v>52500</v>
      </c>
      <c r="J724" s="280">
        <f t="shared" si="99"/>
        <v>55125</v>
      </c>
    </row>
    <row r="725" spans="1:10">
      <c r="A725" s="392"/>
      <c r="B725" s="400"/>
      <c r="C725" s="394">
        <v>2210399</v>
      </c>
      <c r="D725" s="409" t="s">
        <v>526</v>
      </c>
      <c r="E725" s="396"/>
      <c r="F725" s="396"/>
      <c r="G725" s="397"/>
      <c r="H725" s="398">
        <v>50000</v>
      </c>
      <c r="I725" s="280">
        <f t="shared" si="95"/>
        <v>52500</v>
      </c>
      <c r="J725" s="280">
        <f t="shared" si="99"/>
        <v>55125</v>
      </c>
    </row>
    <row r="726" spans="1:10">
      <c r="A726" s="392"/>
      <c r="B726" s="410"/>
      <c r="C726" s="410"/>
      <c r="D726" s="410" t="s">
        <v>527</v>
      </c>
      <c r="E726" s="410"/>
      <c r="F726" s="410"/>
      <c r="G726" s="410"/>
      <c r="H726" s="411">
        <f>SUM(H708:H725)</f>
        <v>26550010</v>
      </c>
      <c r="I726" s="410">
        <f t="shared" ref="I726:J726" si="100">SUM(I708:I725)</f>
        <v>27877510.5</v>
      </c>
      <c r="J726" s="410">
        <f t="shared" si="100"/>
        <v>29271386.025</v>
      </c>
    </row>
    <row r="727" ht="14.25" customHeight="1" spans="1:10">
      <c r="A727" s="390"/>
      <c r="B727" s="391"/>
      <c r="C727" s="391"/>
      <c r="D727" s="391"/>
      <c r="E727" s="391"/>
      <c r="F727" s="279"/>
      <c r="G727" s="280"/>
      <c r="H727" s="281"/>
      <c r="I727" s="280"/>
      <c r="J727" s="280"/>
    </row>
    <row r="728" ht="22.5" customHeight="1" spans="1:10">
      <c r="A728" s="359" t="s">
        <v>528</v>
      </c>
      <c r="B728" s="360" t="s">
        <v>529</v>
      </c>
      <c r="C728" s="360"/>
      <c r="D728" s="360"/>
      <c r="E728" s="360"/>
      <c r="F728" s="360"/>
      <c r="G728" s="360"/>
      <c r="H728" s="361"/>
      <c r="I728" s="396"/>
      <c r="J728" s="396"/>
    </row>
    <row r="729" spans="1:10">
      <c r="A729" s="286"/>
      <c r="B729" s="287" t="s">
        <v>530</v>
      </c>
      <c r="C729" s="288">
        <v>2110101</v>
      </c>
      <c r="D729" s="412" t="s">
        <v>518</v>
      </c>
      <c r="E729" s="271">
        <f>20000000</f>
        <v>20000000</v>
      </c>
      <c r="F729" s="279"/>
      <c r="G729" s="273">
        <f t="shared" ref="G729:G738" si="101">E729+F729</f>
        <v>20000000</v>
      </c>
      <c r="H729" s="281">
        <f>18000000</f>
        <v>18000000</v>
      </c>
      <c r="I729" s="280">
        <f t="shared" ref="I729:I763" si="102">H729*1.05</f>
        <v>18900000</v>
      </c>
      <c r="J729" s="280">
        <f t="shared" si="99"/>
        <v>19845000</v>
      </c>
    </row>
    <row r="730" spans="1:10">
      <c r="A730" s="286"/>
      <c r="B730" s="287"/>
      <c r="C730" s="288">
        <v>2210399</v>
      </c>
      <c r="D730" s="412" t="s">
        <v>127</v>
      </c>
      <c r="E730" s="271"/>
      <c r="F730" s="279"/>
      <c r="G730" s="273"/>
      <c r="H730" s="281">
        <f>1000000</f>
        <v>1000000</v>
      </c>
      <c r="I730" s="280">
        <f t="shared" si="102"/>
        <v>1050000</v>
      </c>
      <c r="J730" s="280">
        <f t="shared" si="99"/>
        <v>1102500</v>
      </c>
    </row>
    <row r="731" spans="1:10">
      <c r="A731" s="286"/>
      <c r="B731" s="287"/>
      <c r="C731" s="288">
        <v>2210502</v>
      </c>
      <c r="D731" s="412" t="s">
        <v>379</v>
      </c>
      <c r="E731" s="271"/>
      <c r="F731" s="279"/>
      <c r="G731" s="273"/>
      <c r="H731" s="281">
        <f>100000</f>
        <v>100000</v>
      </c>
      <c r="I731" s="280">
        <f t="shared" si="102"/>
        <v>105000</v>
      </c>
      <c r="J731" s="280">
        <f t="shared" si="99"/>
        <v>110250</v>
      </c>
    </row>
    <row r="732" spans="1:10">
      <c r="A732" s="286"/>
      <c r="B732" s="287"/>
      <c r="C732" s="288">
        <v>2210802</v>
      </c>
      <c r="D732" s="412" t="s">
        <v>499</v>
      </c>
      <c r="E732" s="271">
        <f>1000000</f>
        <v>1000000</v>
      </c>
      <c r="F732" s="279"/>
      <c r="G732" s="273">
        <f t="shared" si="101"/>
        <v>1000000</v>
      </c>
      <c r="H732" s="281">
        <f>3000000</f>
        <v>3000000</v>
      </c>
      <c r="I732" s="280">
        <f t="shared" si="102"/>
        <v>3150000</v>
      </c>
      <c r="J732" s="280">
        <f t="shared" si="99"/>
        <v>3307500</v>
      </c>
    </row>
    <row r="733" ht="27" customHeight="1" spans="1:10">
      <c r="A733" s="286"/>
      <c r="B733" s="287"/>
      <c r="C733" s="288">
        <v>2210504</v>
      </c>
      <c r="D733" s="412" t="s">
        <v>501</v>
      </c>
      <c r="E733" s="271"/>
      <c r="F733" s="279"/>
      <c r="G733" s="273"/>
      <c r="H733" s="281">
        <f>100000</f>
        <v>100000</v>
      </c>
      <c r="I733" s="280">
        <f t="shared" si="102"/>
        <v>105000</v>
      </c>
      <c r="J733" s="280">
        <f t="shared" si="99"/>
        <v>110250</v>
      </c>
    </row>
    <row r="734" ht="24" customHeight="1" spans="1:10">
      <c r="A734" s="286"/>
      <c r="B734" s="287"/>
      <c r="C734" s="288">
        <v>2210309</v>
      </c>
      <c r="D734" s="412" t="s">
        <v>97</v>
      </c>
      <c r="E734" s="271">
        <f>200000</f>
        <v>200000</v>
      </c>
      <c r="F734" s="279"/>
      <c r="G734" s="273">
        <f t="shared" si="101"/>
        <v>200000</v>
      </c>
      <c r="H734" s="281">
        <f>100000</f>
        <v>100000</v>
      </c>
      <c r="I734" s="280">
        <f t="shared" si="102"/>
        <v>105000</v>
      </c>
      <c r="J734" s="280">
        <f t="shared" si="99"/>
        <v>110250</v>
      </c>
    </row>
    <row r="735" ht="28.5" customHeight="1" spans="1:10">
      <c r="A735" s="286"/>
      <c r="B735" s="287"/>
      <c r="C735" s="288">
        <v>2211101</v>
      </c>
      <c r="D735" s="246" t="s">
        <v>531</v>
      </c>
      <c r="E735" s="271">
        <f>300000</f>
        <v>300000</v>
      </c>
      <c r="F735" s="279"/>
      <c r="G735" s="273">
        <f t="shared" si="101"/>
        <v>300000</v>
      </c>
      <c r="H735" s="281">
        <f>200000</f>
        <v>200000</v>
      </c>
      <c r="I735" s="280">
        <f t="shared" si="102"/>
        <v>210000</v>
      </c>
      <c r="J735" s="280">
        <f t="shared" si="99"/>
        <v>220500</v>
      </c>
    </row>
    <row r="736" spans="1:10">
      <c r="A736" s="286"/>
      <c r="B736" s="287"/>
      <c r="C736" s="288">
        <v>2211199</v>
      </c>
      <c r="D736" s="412" t="s">
        <v>200</v>
      </c>
      <c r="E736" s="271">
        <f>10500000</f>
        <v>10500000</v>
      </c>
      <c r="F736" s="279">
        <v>-10500000</v>
      </c>
      <c r="G736" s="273">
        <f t="shared" si="101"/>
        <v>0</v>
      </c>
      <c r="H736" s="281">
        <f>800000</f>
        <v>800000</v>
      </c>
      <c r="I736" s="280">
        <f t="shared" si="102"/>
        <v>840000</v>
      </c>
      <c r="J736" s="280">
        <f t="shared" si="99"/>
        <v>882000</v>
      </c>
    </row>
    <row r="737" spans="1:10">
      <c r="A737" s="286"/>
      <c r="B737" s="287"/>
      <c r="C737" s="288">
        <v>2210899</v>
      </c>
      <c r="D737" s="412" t="s">
        <v>467</v>
      </c>
      <c r="E737" s="271">
        <f>500000</f>
        <v>500000</v>
      </c>
      <c r="F737" s="279"/>
      <c r="G737" s="273">
        <f t="shared" si="101"/>
        <v>500000</v>
      </c>
      <c r="H737" s="281">
        <f>500000</f>
        <v>500000</v>
      </c>
      <c r="I737" s="280">
        <f t="shared" si="102"/>
        <v>525000</v>
      </c>
      <c r="J737" s="280">
        <f t="shared" si="99"/>
        <v>551250</v>
      </c>
    </row>
    <row r="738" spans="1:10">
      <c r="A738" s="286"/>
      <c r="B738" s="287"/>
      <c r="C738" s="287"/>
      <c r="D738" s="289" t="s">
        <v>520</v>
      </c>
      <c r="E738" s="271">
        <f>1000000</f>
        <v>1000000</v>
      </c>
      <c r="F738" s="279"/>
      <c r="G738" s="273">
        <f t="shared" si="101"/>
        <v>1000000</v>
      </c>
      <c r="H738" s="281"/>
      <c r="I738" s="280">
        <f t="shared" si="102"/>
        <v>0</v>
      </c>
      <c r="J738" s="280">
        <f t="shared" si="99"/>
        <v>0</v>
      </c>
    </row>
    <row r="739" spans="1:10">
      <c r="A739" s="286"/>
      <c r="B739" s="413" t="s">
        <v>521</v>
      </c>
      <c r="C739" s="288">
        <v>2210309</v>
      </c>
      <c r="D739" s="289" t="s">
        <v>97</v>
      </c>
      <c r="E739" s="271"/>
      <c r="F739" s="414"/>
      <c r="G739" s="415"/>
      <c r="H739" s="281">
        <f>300000</f>
        <v>300000</v>
      </c>
      <c r="I739" s="280">
        <f t="shared" si="102"/>
        <v>315000</v>
      </c>
      <c r="J739" s="280">
        <f t="shared" si="99"/>
        <v>330750</v>
      </c>
    </row>
    <row r="740" spans="1:10">
      <c r="A740" s="286"/>
      <c r="B740" s="416"/>
      <c r="C740" s="288">
        <v>2220105</v>
      </c>
      <c r="D740" s="289" t="s">
        <v>369</v>
      </c>
      <c r="E740" s="271"/>
      <c r="F740" s="414"/>
      <c r="G740" s="415"/>
      <c r="H740" s="281">
        <f>200000</f>
        <v>200000</v>
      </c>
      <c r="I740" s="280">
        <f t="shared" si="102"/>
        <v>210000</v>
      </c>
      <c r="J740" s="280">
        <f t="shared" si="99"/>
        <v>220500</v>
      </c>
    </row>
    <row r="741" spans="1:10">
      <c r="A741" s="286"/>
      <c r="B741" s="416"/>
      <c r="C741" s="288">
        <v>2210799</v>
      </c>
      <c r="D741" s="289" t="s">
        <v>482</v>
      </c>
      <c r="E741" s="271"/>
      <c r="F741" s="414"/>
      <c r="G741" s="415"/>
      <c r="H741" s="281">
        <f>500000</f>
        <v>500000</v>
      </c>
      <c r="I741" s="280">
        <f t="shared" si="102"/>
        <v>525000</v>
      </c>
      <c r="J741" s="280">
        <f t="shared" si="99"/>
        <v>551250</v>
      </c>
    </row>
    <row r="742" spans="1:10">
      <c r="A742" s="286"/>
      <c r="B742" s="417"/>
      <c r="C742" s="288">
        <v>2210302</v>
      </c>
      <c r="D742" s="289" t="s">
        <v>127</v>
      </c>
      <c r="E742" s="271"/>
      <c r="F742" s="414"/>
      <c r="G742" s="415"/>
      <c r="H742" s="281">
        <f>500000</f>
        <v>500000</v>
      </c>
      <c r="I742" s="280">
        <f t="shared" si="102"/>
        <v>525000</v>
      </c>
      <c r="J742" s="280">
        <f t="shared" si="99"/>
        <v>551250</v>
      </c>
    </row>
    <row r="743" spans="1:10">
      <c r="A743" s="286"/>
      <c r="B743" s="413" t="s">
        <v>524</v>
      </c>
      <c r="C743" s="288">
        <v>2110202</v>
      </c>
      <c r="D743" s="289" t="s">
        <v>434</v>
      </c>
      <c r="E743" s="271"/>
      <c r="F743" s="414"/>
      <c r="G743" s="415"/>
      <c r="H743" s="281">
        <f>300000</f>
        <v>300000</v>
      </c>
      <c r="I743" s="280">
        <f t="shared" si="102"/>
        <v>315000</v>
      </c>
      <c r="J743" s="280">
        <f t="shared" si="99"/>
        <v>330750</v>
      </c>
    </row>
    <row r="744" ht="35.25" customHeight="1" spans="1:10">
      <c r="A744" s="286"/>
      <c r="B744" s="417"/>
      <c r="C744" s="288">
        <v>2211399</v>
      </c>
      <c r="D744" s="289" t="s">
        <v>435</v>
      </c>
      <c r="E744" s="271"/>
      <c r="F744" s="414"/>
      <c r="G744" s="415"/>
      <c r="H744" s="281">
        <f>250000</f>
        <v>250000</v>
      </c>
      <c r="I744" s="280">
        <f t="shared" si="102"/>
        <v>262500</v>
      </c>
      <c r="J744" s="280">
        <f t="shared" si="99"/>
        <v>275625</v>
      </c>
    </row>
    <row r="745" ht="40.8" spans="1:10">
      <c r="A745" s="286"/>
      <c r="B745" s="287" t="s">
        <v>511</v>
      </c>
      <c r="C745" s="288">
        <v>2210399</v>
      </c>
      <c r="D745" s="289" t="s">
        <v>512</v>
      </c>
      <c r="E745" s="271"/>
      <c r="F745" s="414"/>
      <c r="G745" s="415"/>
      <c r="H745" s="281">
        <f>200000</f>
        <v>200000</v>
      </c>
      <c r="I745" s="280">
        <f t="shared" si="102"/>
        <v>210000</v>
      </c>
      <c r="J745" s="280">
        <f t="shared" si="99"/>
        <v>220500</v>
      </c>
    </row>
    <row r="746" ht="6.75" customHeight="1" spans="1:10">
      <c r="A746" s="286"/>
      <c r="B746" s="287"/>
      <c r="C746" s="287"/>
      <c r="D746" s="289"/>
      <c r="E746" s="271"/>
      <c r="F746" s="414"/>
      <c r="G746" s="415"/>
      <c r="H746" s="281"/>
      <c r="I746" s="280"/>
      <c r="J746" s="280"/>
    </row>
    <row r="747" ht="29.25" customHeight="1" spans="1:10">
      <c r="A747" s="410"/>
      <c r="B747" s="410"/>
      <c r="C747" s="410"/>
      <c r="D747" s="410" t="s">
        <v>162</v>
      </c>
      <c r="E747" s="418">
        <f>SUM(E729:E738)</f>
        <v>33500000</v>
      </c>
      <c r="F747" s="419">
        <f>SUM(F729:F738)</f>
        <v>-10500000</v>
      </c>
      <c r="G747" s="420">
        <f>SUM(G729:G738)</f>
        <v>23000000</v>
      </c>
      <c r="H747" s="411">
        <f>SUM(H729:H746)</f>
        <v>26050000</v>
      </c>
      <c r="I747" s="410">
        <f t="shared" ref="I747:J747" si="103">SUM(I729:I746)</f>
        <v>27352500</v>
      </c>
      <c r="J747" s="410">
        <f t="shared" si="103"/>
        <v>28720125</v>
      </c>
    </row>
    <row r="748" ht="9.75" customHeight="1" spans="1:10">
      <c r="A748" s="390"/>
      <c r="B748" s="391"/>
      <c r="C748" s="391"/>
      <c r="D748" s="391"/>
      <c r="E748" s="391"/>
      <c r="F748" s="279"/>
      <c r="G748" s="280"/>
      <c r="H748" s="281"/>
      <c r="I748" s="280"/>
      <c r="J748" s="280"/>
    </row>
    <row r="749" spans="1:10">
      <c r="A749" s="421"/>
      <c r="B749" s="422" t="s">
        <v>532</v>
      </c>
      <c r="C749" s="422"/>
      <c r="D749" s="422"/>
      <c r="E749" s="422"/>
      <c r="F749" s="422"/>
      <c r="G749" s="422"/>
      <c r="H749" s="423"/>
      <c r="I749" s="324"/>
      <c r="J749" s="324"/>
    </row>
    <row r="750" spans="1:10">
      <c r="A750" s="313"/>
      <c r="B750" s="319"/>
      <c r="C750" s="355">
        <v>2640499</v>
      </c>
      <c r="D750" s="424" t="s">
        <v>176</v>
      </c>
      <c r="E750" s="271">
        <v>37500000</v>
      </c>
      <c r="F750" s="279">
        <v>5000000</v>
      </c>
      <c r="G750" s="273">
        <f>E750+F750</f>
        <v>42500000</v>
      </c>
      <c r="H750" s="281">
        <v>37500000</v>
      </c>
      <c r="I750" s="280">
        <f t="shared" si="102"/>
        <v>39375000</v>
      </c>
      <c r="J750" s="280">
        <f t="shared" si="99"/>
        <v>41343750</v>
      </c>
    </row>
    <row r="751" spans="1:10">
      <c r="A751" s="313"/>
      <c r="B751" s="319"/>
      <c r="C751" s="355">
        <v>2640499</v>
      </c>
      <c r="D751" s="424" t="s">
        <v>533</v>
      </c>
      <c r="E751" s="271"/>
      <c r="F751" s="279"/>
      <c r="G751" s="273"/>
      <c r="H751" s="281">
        <v>5000000</v>
      </c>
      <c r="I751" s="280">
        <f t="shared" si="102"/>
        <v>5250000</v>
      </c>
      <c r="J751" s="280">
        <f t="shared" si="99"/>
        <v>5512500</v>
      </c>
    </row>
    <row r="752" spans="1:10">
      <c r="A752" s="313"/>
      <c r="B752" s="319"/>
      <c r="C752" s="355">
        <v>2210302</v>
      </c>
      <c r="D752" s="424" t="s">
        <v>498</v>
      </c>
      <c r="E752" s="271">
        <v>3000000</v>
      </c>
      <c r="F752" s="279"/>
      <c r="G752" s="273">
        <f t="shared" ref="G752:G759" si="104">E752+F752</f>
        <v>3000000</v>
      </c>
      <c r="H752" s="281">
        <v>3000000</v>
      </c>
      <c r="I752" s="280">
        <f t="shared" si="102"/>
        <v>3150000</v>
      </c>
      <c r="J752" s="280">
        <f t="shared" si="99"/>
        <v>3307500</v>
      </c>
    </row>
    <row r="753" spans="1:10">
      <c r="A753" s="313"/>
      <c r="B753" s="319"/>
      <c r="C753" s="355">
        <v>2210802</v>
      </c>
      <c r="D753" s="424" t="s">
        <v>499</v>
      </c>
      <c r="E753" s="271">
        <v>1500000</v>
      </c>
      <c r="F753" s="279"/>
      <c r="G753" s="273">
        <f t="shared" si="104"/>
        <v>1500000</v>
      </c>
      <c r="H753" s="281">
        <v>1000000</v>
      </c>
      <c r="I753" s="280">
        <f t="shared" si="102"/>
        <v>1050000</v>
      </c>
      <c r="J753" s="280">
        <f t="shared" si="99"/>
        <v>1102500</v>
      </c>
    </row>
    <row r="754" spans="1:10">
      <c r="A754" s="313"/>
      <c r="B754" s="319"/>
      <c r="C754" s="355">
        <v>2210899</v>
      </c>
      <c r="D754" s="424" t="s">
        <v>467</v>
      </c>
      <c r="E754" s="271">
        <v>200000</v>
      </c>
      <c r="F754" s="279"/>
      <c r="G754" s="273">
        <f t="shared" si="104"/>
        <v>200000</v>
      </c>
      <c r="H754" s="281">
        <v>210000</v>
      </c>
      <c r="I754" s="280">
        <f t="shared" si="102"/>
        <v>220500</v>
      </c>
      <c r="J754" s="280">
        <f t="shared" si="99"/>
        <v>231525</v>
      </c>
    </row>
    <row r="755" spans="1:10">
      <c r="A755" s="313"/>
      <c r="B755" s="319"/>
      <c r="C755" s="355">
        <v>2211199</v>
      </c>
      <c r="D755" s="424" t="s">
        <v>200</v>
      </c>
      <c r="E755" s="271">
        <v>800000</v>
      </c>
      <c r="F755" s="279"/>
      <c r="G755" s="273">
        <f t="shared" si="104"/>
        <v>800000</v>
      </c>
      <c r="H755" s="281">
        <v>840000</v>
      </c>
      <c r="I755" s="280">
        <f t="shared" si="102"/>
        <v>882000</v>
      </c>
      <c r="J755" s="280">
        <f t="shared" si="99"/>
        <v>926100</v>
      </c>
    </row>
    <row r="756" spans="1:10">
      <c r="A756" s="313"/>
      <c r="B756" s="319"/>
      <c r="C756" s="355">
        <v>2210799</v>
      </c>
      <c r="D756" s="424" t="s">
        <v>509</v>
      </c>
      <c r="E756" s="271">
        <v>1000000</v>
      </c>
      <c r="F756" s="279"/>
      <c r="G756" s="273">
        <f t="shared" si="104"/>
        <v>1000000</v>
      </c>
      <c r="H756" s="281">
        <v>1050000</v>
      </c>
      <c r="I756" s="280">
        <f t="shared" si="102"/>
        <v>1102500</v>
      </c>
      <c r="J756" s="280">
        <f t="shared" si="99"/>
        <v>1157625</v>
      </c>
    </row>
    <row r="757" spans="1:10">
      <c r="A757" s="313"/>
      <c r="B757" s="319"/>
      <c r="C757" s="355">
        <v>2211299</v>
      </c>
      <c r="D757" s="424" t="s">
        <v>534</v>
      </c>
      <c r="E757" s="271">
        <v>1000000</v>
      </c>
      <c r="F757" s="279"/>
      <c r="G757" s="273">
        <f t="shared" si="104"/>
        <v>1000000</v>
      </c>
      <c r="H757" s="281">
        <v>1050000</v>
      </c>
      <c r="I757" s="280">
        <f t="shared" si="102"/>
        <v>1102500</v>
      </c>
      <c r="J757" s="280">
        <f t="shared" si="99"/>
        <v>1157625</v>
      </c>
    </row>
    <row r="758" spans="1:10">
      <c r="A758" s="313"/>
      <c r="B758" s="319"/>
      <c r="C758" s="355">
        <v>2210399</v>
      </c>
      <c r="D758" s="424" t="s">
        <v>535</v>
      </c>
      <c r="E758" s="271"/>
      <c r="F758" s="279"/>
      <c r="G758" s="273"/>
      <c r="H758" s="281">
        <v>6000000</v>
      </c>
      <c r="I758" s="280">
        <f t="shared" si="102"/>
        <v>6300000</v>
      </c>
      <c r="J758" s="280">
        <f t="shared" si="99"/>
        <v>6615000</v>
      </c>
    </row>
    <row r="759" spans="1:10">
      <c r="A759" s="313"/>
      <c r="B759" s="319"/>
      <c r="C759" s="355">
        <v>2220101</v>
      </c>
      <c r="D759" s="424" t="s">
        <v>536</v>
      </c>
      <c r="E759" s="271">
        <v>1000000</v>
      </c>
      <c r="F759" s="279"/>
      <c r="G759" s="273">
        <f t="shared" si="104"/>
        <v>1000000</v>
      </c>
      <c r="H759" s="281">
        <v>1050000</v>
      </c>
      <c r="I759" s="280">
        <f t="shared" si="102"/>
        <v>1102500</v>
      </c>
      <c r="J759" s="280">
        <f t="shared" si="99"/>
        <v>1157625</v>
      </c>
    </row>
    <row r="760" s="245" customFormat="1" customHeight="1" spans="1:10">
      <c r="A760" s="425"/>
      <c r="B760" s="426"/>
      <c r="C760" s="426"/>
      <c r="D760" s="426" t="s">
        <v>527</v>
      </c>
      <c r="E760" s="426">
        <f t="shared" ref="E760:J760" si="105">SUM(E750:E759)</f>
        <v>46000000</v>
      </c>
      <c r="F760" s="426">
        <f t="shared" si="105"/>
        <v>5000000</v>
      </c>
      <c r="G760" s="426">
        <f t="shared" si="105"/>
        <v>51000000</v>
      </c>
      <c r="H760" s="427">
        <f t="shared" si="105"/>
        <v>56700000</v>
      </c>
      <c r="I760" s="426">
        <f t="shared" si="105"/>
        <v>59535000</v>
      </c>
      <c r="J760" s="426">
        <f t="shared" si="105"/>
        <v>62511750</v>
      </c>
    </row>
    <row r="761" s="245" customFormat="1" ht="7.5" customHeight="1" spans="1:10">
      <c r="A761" s="428"/>
      <c r="B761" s="429"/>
      <c r="C761" s="429"/>
      <c r="D761" s="429"/>
      <c r="E761" s="429"/>
      <c r="F761" s="429"/>
      <c r="G761" s="429"/>
      <c r="H761" s="430"/>
      <c r="I761" s="280"/>
      <c r="J761" s="280"/>
    </row>
    <row r="762" s="245" customFormat="1" ht="16.5" customHeight="1" spans="1:10">
      <c r="A762" s="431"/>
      <c r="B762" s="432" t="s">
        <v>48</v>
      </c>
      <c r="C762" s="432"/>
      <c r="D762" s="432"/>
      <c r="E762" s="432"/>
      <c r="F762" s="432"/>
      <c r="G762" s="432"/>
      <c r="H762" s="432"/>
      <c r="I762" s="443"/>
      <c r="J762" s="443"/>
    </row>
    <row r="763" spans="1:10">
      <c r="A763" s="433"/>
      <c r="B763" s="434"/>
      <c r="C763" s="434"/>
      <c r="D763" s="434" t="s">
        <v>48</v>
      </c>
      <c r="E763" s="434">
        <v>841956442</v>
      </c>
      <c r="F763" s="279">
        <v>-16141608</v>
      </c>
      <c r="G763" s="280">
        <f>E763+F763</f>
        <v>825814834</v>
      </c>
      <c r="H763" s="281">
        <f>816710947</f>
        <v>816710947</v>
      </c>
      <c r="I763" s="280">
        <f t="shared" si="102"/>
        <v>857546494.35</v>
      </c>
      <c r="J763" s="280">
        <v>793605575.7</v>
      </c>
    </row>
    <row r="764" ht="9.75" customHeight="1" spans="1:10">
      <c r="A764" s="433"/>
      <c r="B764" s="434"/>
      <c r="C764" s="434"/>
      <c r="D764" s="434"/>
      <c r="E764" s="434"/>
      <c r="F764" s="414"/>
      <c r="G764" s="297"/>
      <c r="H764" s="281"/>
      <c r="I764" s="280"/>
      <c r="J764" s="280"/>
    </row>
    <row r="765" spans="1:10">
      <c r="A765" s="392"/>
      <c r="B765" s="431" t="s">
        <v>78</v>
      </c>
      <c r="C765" s="432"/>
      <c r="D765" s="435"/>
      <c r="E765" s="436"/>
      <c r="F765" s="437"/>
      <c r="G765" s="438"/>
      <c r="H765" s="411">
        <f>SUM(H152,H230,H267,H301,H365,H405,H453,H504,H523,H572,H615,H680,H705,H726,H747,H760+H763)</f>
        <v>7887826592</v>
      </c>
      <c r="I765" s="410">
        <f>SUM(I152,I230,I267,I301,I365,I405,I453,I504,I523,I572,I615,I680,I705,I726,I747,I760+I763)</f>
        <v>8147817921.6</v>
      </c>
      <c r="J765" s="410">
        <f>SUM(J152,J230,J267,J301,J365,J405,J453,J504,J523,J572,J615,J680,J705,J726,J747,J760+J763)</f>
        <v>8439158258.055</v>
      </c>
    </row>
    <row r="766" ht="23.25" customHeight="1" spans="4:5">
      <c r="D766" s="439"/>
      <c r="E766" s="440"/>
    </row>
    <row r="767" ht="26.25" customHeight="1" spans="2:5">
      <c r="B767" s="441"/>
      <c r="E767" s="440"/>
    </row>
    <row r="768" ht="20.25" customHeight="1" spans="2:5">
      <c r="B768" s="441"/>
      <c r="D768" s="442"/>
      <c r="E768" s="440"/>
    </row>
    <row r="769" ht="23.25" customHeight="1" spans="2:17">
      <c r="B769" s="441"/>
      <c r="E769" s="440"/>
      <c r="Q769" s="445"/>
    </row>
    <row r="770" spans="4:17">
      <c r="D770" s="442"/>
      <c r="E770" s="440"/>
      <c r="M770" s="444"/>
      <c r="Q770" s="445"/>
    </row>
    <row r="771" spans="5:17">
      <c r="E771" s="440"/>
      <c r="Q771" s="446"/>
    </row>
    <row r="772" spans="17:17">
      <c r="Q772" s="446"/>
    </row>
    <row r="773" spans="17:17">
      <c r="Q773" s="446"/>
    </row>
    <row r="774" spans="13:17">
      <c r="M774" s="444"/>
      <c r="Q774" s="446"/>
    </row>
    <row r="775" spans="17:17">
      <c r="Q775" s="446"/>
    </row>
    <row r="776" spans="17:17">
      <c r="Q776" s="447"/>
    </row>
  </sheetData>
  <mergeCells count="132">
    <mergeCell ref="A23:D23"/>
    <mergeCell ref="A24:E24"/>
    <mergeCell ref="A152:D152"/>
    <mergeCell ref="B153:E153"/>
    <mergeCell ref="A230:D230"/>
    <mergeCell ref="A231:E231"/>
    <mergeCell ref="A267:D267"/>
    <mergeCell ref="A268:E268"/>
    <mergeCell ref="A269:H269"/>
    <mergeCell ref="B302:H302"/>
    <mergeCell ref="B367:H367"/>
    <mergeCell ref="A615:D615"/>
    <mergeCell ref="B680:D680"/>
    <mergeCell ref="B705:D705"/>
    <mergeCell ref="I728:J728"/>
    <mergeCell ref="B762:H762"/>
    <mergeCell ref="B765:D765"/>
    <mergeCell ref="A6:A22"/>
    <mergeCell ref="A26:A86"/>
    <mergeCell ref="A87:A151"/>
    <mergeCell ref="A155:A187"/>
    <mergeCell ref="A188:A210"/>
    <mergeCell ref="A211:A229"/>
    <mergeCell ref="A233:A251"/>
    <mergeCell ref="A252:A257"/>
    <mergeCell ref="A259:A266"/>
    <mergeCell ref="A270:A284"/>
    <mergeCell ref="A285:A290"/>
    <mergeCell ref="A291:A296"/>
    <mergeCell ref="A297:A299"/>
    <mergeCell ref="A303:A322"/>
    <mergeCell ref="A323:A331"/>
    <mergeCell ref="A332:A347"/>
    <mergeCell ref="A348:A354"/>
    <mergeCell ref="A355:A364"/>
    <mergeCell ref="A368:A379"/>
    <mergeCell ref="A380:A394"/>
    <mergeCell ref="A395:A404"/>
    <mergeCell ref="A408:A452"/>
    <mergeCell ref="A456:A478"/>
    <mergeCell ref="A479:A503"/>
    <mergeCell ref="A507:A522"/>
    <mergeCell ref="A526:A571"/>
    <mergeCell ref="A575:A614"/>
    <mergeCell ref="A618:A679"/>
    <mergeCell ref="A683:A704"/>
    <mergeCell ref="A729:A738"/>
    <mergeCell ref="B4:B5"/>
    <mergeCell ref="B26:B43"/>
    <mergeCell ref="B44:B70"/>
    <mergeCell ref="B71:B78"/>
    <mergeCell ref="B79:B86"/>
    <mergeCell ref="B87:B98"/>
    <mergeCell ref="B99:B109"/>
    <mergeCell ref="B110:B117"/>
    <mergeCell ref="B118:B126"/>
    <mergeCell ref="B127:B137"/>
    <mergeCell ref="B138:B151"/>
    <mergeCell ref="B155:B175"/>
    <mergeCell ref="B176:B181"/>
    <mergeCell ref="B182:B187"/>
    <mergeCell ref="B188:B195"/>
    <mergeCell ref="B196:B201"/>
    <mergeCell ref="B202:B206"/>
    <mergeCell ref="B207:B210"/>
    <mergeCell ref="B211:B222"/>
    <mergeCell ref="B223:B229"/>
    <mergeCell ref="B233:B247"/>
    <mergeCell ref="B248:B251"/>
    <mergeCell ref="B252:B254"/>
    <mergeCell ref="B255:B257"/>
    <mergeCell ref="B259:B261"/>
    <mergeCell ref="B262:B266"/>
    <mergeCell ref="B270:B278"/>
    <mergeCell ref="B279:B284"/>
    <mergeCell ref="B285:B290"/>
    <mergeCell ref="B291:B296"/>
    <mergeCell ref="B297:B299"/>
    <mergeCell ref="B303:B322"/>
    <mergeCell ref="B323:B331"/>
    <mergeCell ref="B332:B343"/>
    <mergeCell ref="B344:B347"/>
    <mergeCell ref="B348:B354"/>
    <mergeCell ref="B355:B364"/>
    <mergeCell ref="B368:B379"/>
    <mergeCell ref="B380:B388"/>
    <mergeCell ref="B389:B394"/>
    <mergeCell ref="B395:B401"/>
    <mergeCell ref="B402:B404"/>
    <mergeCell ref="B408:B437"/>
    <mergeCell ref="B438:B441"/>
    <mergeCell ref="B442:B452"/>
    <mergeCell ref="B456:B476"/>
    <mergeCell ref="B480:B483"/>
    <mergeCell ref="B484:B491"/>
    <mergeCell ref="B492:B498"/>
    <mergeCell ref="B499:B503"/>
    <mergeCell ref="B507:B518"/>
    <mergeCell ref="B519:B522"/>
    <mergeCell ref="B526:B542"/>
    <mergeCell ref="B543:B547"/>
    <mergeCell ref="B548:B552"/>
    <mergeCell ref="B553:B562"/>
    <mergeCell ref="B563:B568"/>
    <mergeCell ref="B569:B571"/>
    <mergeCell ref="B575:B577"/>
    <mergeCell ref="B578:B584"/>
    <mergeCell ref="B585:B595"/>
    <mergeCell ref="B596:B603"/>
    <mergeCell ref="B604:B606"/>
    <mergeCell ref="B607:B614"/>
    <mergeCell ref="B618:B657"/>
    <mergeCell ref="B658:B679"/>
    <mergeCell ref="B683:B692"/>
    <mergeCell ref="B693:B699"/>
    <mergeCell ref="B700:B701"/>
    <mergeCell ref="B702:B704"/>
    <mergeCell ref="B708:B715"/>
    <mergeCell ref="B716:B720"/>
    <mergeCell ref="B721:B722"/>
    <mergeCell ref="B723:B725"/>
    <mergeCell ref="B729:B738"/>
    <mergeCell ref="B739:B742"/>
    <mergeCell ref="B743:B744"/>
    <mergeCell ref="B750:B759"/>
    <mergeCell ref="D4:D5"/>
    <mergeCell ref="E4:E5"/>
    <mergeCell ref="F4:F5"/>
    <mergeCell ref="G4:G5"/>
    <mergeCell ref="H4:H5"/>
    <mergeCell ref="I4:I5"/>
    <mergeCell ref="J4:J5"/>
  </mergeCells>
  <conditionalFormatting sqref="E4">
    <cfRule type="cellIs" dxfId="0" priority="67" stopIfTrue="1" operator="lessThan">
      <formula>0</formula>
    </cfRule>
    <cfRule type="cellIs" dxfId="0" priority="68" operator="lessThan">
      <formula>0</formula>
    </cfRule>
  </conditionalFormatting>
  <conditionalFormatting sqref="E4:F4">
    <cfRule type="cellIs" dxfId="0" priority="37" operator="lessThan">
      <formula>0</formula>
    </cfRule>
  </conditionalFormatting>
  <conditionalFormatting sqref="F4">
    <cfRule type="cellIs" dxfId="0" priority="36" stopIfTrue="1" operator="lessThan">
      <formula>0</formula>
    </cfRule>
  </conditionalFormatting>
  <conditionalFormatting sqref="F4:G4">
    <cfRule type="cellIs" dxfId="0" priority="34" operator="lessThan">
      <formula>0</formula>
    </cfRule>
  </conditionalFormatting>
  <conditionalFormatting sqref="G4">
    <cfRule type="cellIs" dxfId="0" priority="33" stopIfTrue="1" operator="lessThan">
      <formula>0</formula>
    </cfRule>
  </conditionalFormatting>
  <conditionalFormatting sqref="G4:H4">
    <cfRule type="cellIs" dxfId="0" priority="25" operator="lessThan">
      <formula>0</formula>
    </cfRule>
  </conditionalFormatting>
  <conditionalFormatting sqref="H4">
    <cfRule type="cellIs" dxfId="0" priority="23" operator="lessThan">
      <formula>0</formula>
    </cfRule>
    <cfRule type="cellIs" dxfId="0" priority="24" stopIfTrue="1" operator="lessThan">
      <formula>0</formula>
    </cfRule>
  </conditionalFormatting>
  <conditionalFormatting sqref="H6:H7 H9 H11:H14 H16:H18 H21">
    <cfRule type="cellIs" dxfId="1" priority="82" operator="greaterThan">
      <formula>#REF!</formula>
    </cfRule>
  </conditionalFormatting>
  <pageMargins left="0.708661417322835" right="0.708661417322835" top="0.748031496062992" bottom="0.748031496062992" header="0.31496062992126" footer="0.31496062992126"/>
  <pageSetup paperSize="9" scale="60" fitToHeight="0" orientation="landscape"/>
  <headerFooter>
    <oddFooter>&amp;LMurang'a County Government&amp;CPage &amp;P of &amp;N&amp;RBudget Estimates 2025-2026</oddFooter>
  </headerFooter>
  <rowBreaks count="14" manualBreakCount="14">
    <brk id="241" max="9" man="1"/>
    <brk id="280" max="9" man="1"/>
    <brk id="314" max="9" man="1"/>
    <brk id="354" max="9" man="1"/>
    <brk id="391" max="9" man="1"/>
    <brk id="429" max="9" man="1"/>
    <brk id="454" max="9" man="1"/>
    <brk id="485" max="9" man="1"/>
    <brk id="515" max="9" man="1"/>
    <brk id="591" max="9" man="1"/>
    <brk id="629" max="9" man="1"/>
    <brk id="665" max="9" man="1"/>
    <brk id="699" max="9" man="1"/>
    <brk id="73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3"/>
  <sheetViews>
    <sheetView view="pageBreakPreview" zoomScale="77" zoomScalePageLayoutView="88" zoomScaleNormal="80" workbookViewId="0">
      <selection activeCell="G23" sqref="G23"/>
    </sheetView>
  </sheetViews>
  <sheetFormatPr defaultColWidth="8.71296296296296" defaultRowHeight="18"/>
  <cols>
    <col min="1" max="1" width="48.5740740740741" style="48" customWidth="1"/>
    <col min="2" max="2" width="34.287037037037" style="49" customWidth="1"/>
    <col min="3" max="3" width="74.287037037037" style="48" customWidth="1"/>
    <col min="4" max="4" width="22.8518518518519" style="50" hidden="1" customWidth="1"/>
    <col min="5" max="5" width="19.287037037037" style="44" hidden="1" customWidth="1"/>
    <col min="6" max="6" width="28.4259259259259" style="48" hidden="1" customWidth="1"/>
    <col min="7" max="9" width="21.4259259259259" style="48" customWidth="1"/>
    <col min="10" max="16384" width="8.71296296296296" style="48"/>
  </cols>
  <sheetData>
    <row r="1" spans="1:9">
      <c r="A1" s="51"/>
      <c r="B1" s="52" t="s">
        <v>0</v>
      </c>
      <c r="C1" s="51"/>
      <c r="D1" s="51"/>
      <c r="E1" s="53"/>
      <c r="F1" s="51"/>
      <c r="G1" s="51"/>
      <c r="H1" s="51"/>
      <c r="I1" s="51"/>
    </row>
    <row r="2" spans="1:9">
      <c r="A2" s="54"/>
      <c r="B2" s="52" t="s">
        <v>537</v>
      </c>
      <c r="C2" s="51"/>
      <c r="D2" s="51"/>
      <c r="E2" s="53"/>
      <c r="F2" s="51"/>
      <c r="G2" s="51"/>
      <c r="H2" s="51"/>
      <c r="I2" s="51"/>
    </row>
    <row r="3" spans="1:9">
      <c r="A3" s="55"/>
      <c r="B3" s="52" t="s">
        <v>35</v>
      </c>
      <c r="C3" s="52"/>
      <c r="D3" s="52"/>
      <c r="E3" s="51"/>
      <c r="F3" s="51"/>
      <c r="G3" s="51"/>
      <c r="H3" s="51"/>
      <c r="I3" s="51"/>
    </row>
    <row r="4" ht="22.5" customHeight="1" spans="1:9">
      <c r="A4" s="56"/>
      <c r="B4" s="57"/>
      <c r="C4" s="57"/>
      <c r="D4" s="58" t="s">
        <v>39</v>
      </c>
      <c r="E4" s="59" t="s">
        <v>4</v>
      </c>
      <c r="F4" s="57"/>
      <c r="G4" s="57"/>
      <c r="H4" s="60"/>
      <c r="I4" s="60"/>
    </row>
    <row r="5" ht="34.8" spans="1:9">
      <c r="A5" s="56" t="s">
        <v>36</v>
      </c>
      <c r="B5" s="58" t="s">
        <v>37</v>
      </c>
      <c r="C5" s="58" t="s">
        <v>38</v>
      </c>
      <c r="D5" s="61"/>
      <c r="E5" s="59"/>
      <c r="F5" s="57" t="s">
        <v>5</v>
      </c>
      <c r="G5" s="58" t="s">
        <v>538</v>
      </c>
      <c r="H5" s="62" t="s">
        <v>539</v>
      </c>
      <c r="I5" s="62" t="s">
        <v>540</v>
      </c>
    </row>
    <row r="6" spans="1:9">
      <c r="A6" s="63"/>
      <c r="B6" s="64" t="s">
        <v>541</v>
      </c>
      <c r="C6" s="65" t="s">
        <v>46</v>
      </c>
      <c r="D6" s="66">
        <f t="shared" ref="D6:E6" si="0">D30</f>
        <v>15000000</v>
      </c>
      <c r="E6" s="66">
        <f t="shared" si="0"/>
        <v>0</v>
      </c>
      <c r="F6" s="67">
        <f t="shared" ref="F6:F21" si="1">D6+E6</f>
        <v>15000000</v>
      </c>
      <c r="G6" s="68">
        <f>G30</f>
        <v>10000000</v>
      </c>
      <c r="H6" s="69">
        <f>H30</f>
        <v>10500000</v>
      </c>
      <c r="I6" s="69">
        <f>I30</f>
        <v>11025000</v>
      </c>
    </row>
    <row r="7" spans="1:9">
      <c r="A7" s="70"/>
      <c r="B7" s="64" t="s">
        <v>542</v>
      </c>
      <c r="C7" s="65" t="s">
        <v>48</v>
      </c>
      <c r="D7" s="66">
        <f>D33</f>
        <v>40000000</v>
      </c>
      <c r="E7" s="66">
        <f>E33</f>
        <v>0</v>
      </c>
      <c r="F7" s="67">
        <f t="shared" si="1"/>
        <v>40000000</v>
      </c>
      <c r="G7" s="71">
        <f>G33</f>
        <v>30000000</v>
      </c>
      <c r="H7" s="69">
        <f>H33</f>
        <v>31500000</v>
      </c>
      <c r="I7" s="69">
        <f>I33</f>
        <v>33075000</v>
      </c>
    </row>
    <row r="8" spans="1:9">
      <c r="A8" s="70"/>
      <c r="B8" s="64" t="s">
        <v>543</v>
      </c>
      <c r="C8" s="65" t="s">
        <v>49</v>
      </c>
      <c r="D8" s="66">
        <f t="shared" ref="D8:E8" si="2">D40</f>
        <v>46000000</v>
      </c>
      <c r="E8" s="66">
        <f t="shared" si="2"/>
        <v>2000000</v>
      </c>
      <c r="F8" s="67">
        <f t="shared" si="1"/>
        <v>48000000</v>
      </c>
      <c r="G8" s="71">
        <f>G40</f>
        <v>33000000</v>
      </c>
      <c r="H8" s="69">
        <f>H40</f>
        <v>34650000</v>
      </c>
      <c r="I8" s="69">
        <f>I40</f>
        <v>36382500</v>
      </c>
    </row>
    <row r="9" spans="1:9">
      <c r="A9" s="70"/>
      <c r="B9" s="64" t="s">
        <v>544</v>
      </c>
      <c r="C9" s="65" t="s">
        <v>51</v>
      </c>
      <c r="D9" s="66">
        <f t="shared" ref="D9:E9" si="3">D71</f>
        <v>515434071</v>
      </c>
      <c r="E9" s="66">
        <f t="shared" si="3"/>
        <v>44367507</v>
      </c>
      <c r="F9" s="67">
        <f t="shared" si="1"/>
        <v>559801578</v>
      </c>
      <c r="G9" s="71">
        <f t="shared" ref="G9" si="4">G71</f>
        <v>623233198</v>
      </c>
      <c r="H9" s="69">
        <f t="shared" ref="H9:I9" si="5">H71</f>
        <v>654394857.9</v>
      </c>
      <c r="I9" s="69">
        <f t="shared" si="5"/>
        <v>687114600.795</v>
      </c>
    </row>
    <row r="10" spans="1:9">
      <c r="A10" s="70"/>
      <c r="B10" s="64" t="s">
        <v>545</v>
      </c>
      <c r="C10" s="65" t="s">
        <v>53</v>
      </c>
      <c r="D10" s="66">
        <f t="shared" ref="D10:E10" si="6">D92</f>
        <v>1184941894</v>
      </c>
      <c r="E10" s="66">
        <f t="shared" si="6"/>
        <v>84100000</v>
      </c>
      <c r="F10" s="67">
        <f t="shared" si="1"/>
        <v>1269041894</v>
      </c>
      <c r="G10" s="71">
        <f t="shared" ref="G10" si="7">G92</f>
        <v>1427408897</v>
      </c>
      <c r="H10" s="69">
        <f t="shared" ref="H10:I10" si="8">H92</f>
        <v>1492952085.7</v>
      </c>
      <c r="I10" s="69">
        <f t="shared" si="8"/>
        <v>1682866431.135</v>
      </c>
    </row>
    <row r="11" spans="1:9">
      <c r="A11" s="70"/>
      <c r="B11" s="64" t="s">
        <v>56</v>
      </c>
      <c r="C11" s="65" t="s">
        <v>55</v>
      </c>
      <c r="D11" s="66">
        <f t="shared" ref="D11:E11" si="9">D110</f>
        <v>297300000</v>
      </c>
      <c r="E11" s="66">
        <f t="shared" si="9"/>
        <v>-112000000</v>
      </c>
      <c r="F11" s="67">
        <f t="shared" si="1"/>
        <v>185300000</v>
      </c>
      <c r="G11" s="71">
        <f t="shared" ref="G11" si="10">G110</f>
        <v>183000000</v>
      </c>
      <c r="H11" s="69">
        <f t="shared" ref="H11:I11" si="11">H110</f>
        <v>192150000</v>
      </c>
      <c r="I11" s="69">
        <f t="shared" si="11"/>
        <v>201757500</v>
      </c>
    </row>
    <row r="12" spans="1:9">
      <c r="A12" s="70"/>
      <c r="B12" s="64" t="s">
        <v>546</v>
      </c>
      <c r="C12" s="65" t="s">
        <v>57</v>
      </c>
      <c r="D12" s="66">
        <f t="shared" ref="D12:E12" si="12">D120</f>
        <v>31985790</v>
      </c>
      <c r="E12" s="66">
        <f t="shared" si="12"/>
        <v>1000000</v>
      </c>
      <c r="F12" s="67">
        <f t="shared" si="1"/>
        <v>32985790</v>
      </c>
      <c r="G12" s="71">
        <f t="shared" ref="G12" si="13">G120</f>
        <v>36500000</v>
      </c>
      <c r="H12" s="69">
        <f t="shared" ref="H12:I12" si="14">H120</f>
        <v>38325000</v>
      </c>
      <c r="I12" s="69">
        <f t="shared" si="14"/>
        <v>40241250</v>
      </c>
    </row>
    <row r="13" spans="1:9">
      <c r="A13" s="70"/>
      <c r="B13" s="64" t="s">
        <v>547</v>
      </c>
      <c r="C13" s="65" t="s">
        <v>59</v>
      </c>
      <c r="D13" s="66">
        <f>D160</f>
        <v>419184200.46</v>
      </c>
      <c r="E13" s="66">
        <f>E160</f>
        <v>-49290000</v>
      </c>
      <c r="F13" s="67">
        <f t="shared" si="1"/>
        <v>369894200.46</v>
      </c>
      <c r="G13" s="71">
        <f>G160</f>
        <v>401672527</v>
      </c>
      <c r="H13" s="69">
        <f>H160</f>
        <v>349883410</v>
      </c>
      <c r="I13" s="69">
        <f>I160</f>
        <v>367377580.5</v>
      </c>
    </row>
    <row r="14" spans="1:9">
      <c r="A14" s="70"/>
      <c r="B14" s="64" t="s">
        <v>548</v>
      </c>
      <c r="C14" s="65" t="s">
        <v>61</v>
      </c>
      <c r="D14" s="66">
        <f>D170</f>
        <v>20300000</v>
      </c>
      <c r="E14" s="66">
        <f>E170</f>
        <v>0</v>
      </c>
      <c r="F14" s="67">
        <f t="shared" si="1"/>
        <v>20300000</v>
      </c>
      <c r="G14" s="71">
        <f>G170</f>
        <v>17000000</v>
      </c>
      <c r="H14" s="69">
        <f>H170</f>
        <v>17850000</v>
      </c>
      <c r="I14" s="69">
        <f>I170</f>
        <v>18742500</v>
      </c>
    </row>
    <row r="15" spans="1:9">
      <c r="A15" s="70"/>
      <c r="B15" s="64" t="s">
        <v>549</v>
      </c>
      <c r="C15" s="65" t="s">
        <v>63</v>
      </c>
      <c r="D15" s="66">
        <f>D174</f>
        <v>0</v>
      </c>
      <c r="E15" s="66">
        <f>E174</f>
        <v>0</v>
      </c>
      <c r="F15" s="67">
        <f t="shared" si="1"/>
        <v>0</v>
      </c>
      <c r="G15" s="71">
        <f>G174</f>
        <v>0</v>
      </c>
      <c r="H15" s="69">
        <f>H174</f>
        <v>0</v>
      </c>
      <c r="I15" s="69">
        <f>I174</f>
        <v>0</v>
      </c>
    </row>
    <row r="16" ht="23.25" customHeight="1" spans="1:9">
      <c r="A16" s="70"/>
      <c r="B16" s="64" t="s">
        <v>550</v>
      </c>
      <c r="C16" s="65" t="s">
        <v>65</v>
      </c>
      <c r="D16" s="66">
        <f>D187</f>
        <v>177000000</v>
      </c>
      <c r="E16" s="66">
        <f>E187</f>
        <v>5000000</v>
      </c>
      <c r="F16" s="67">
        <f t="shared" si="1"/>
        <v>182000000</v>
      </c>
      <c r="G16" s="71">
        <f>G187</f>
        <v>167800000</v>
      </c>
      <c r="H16" s="69">
        <f>H187</f>
        <v>176190000</v>
      </c>
      <c r="I16" s="69">
        <f>I187</f>
        <v>184999500</v>
      </c>
    </row>
    <row r="17" spans="1:9">
      <c r="A17" s="70"/>
      <c r="B17" s="64" t="s">
        <v>551</v>
      </c>
      <c r="C17" s="65" t="s">
        <v>67</v>
      </c>
      <c r="D17" s="66" t="e">
        <f>#REF!</f>
        <v>#REF!</v>
      </c>
      <c r="E17" s="66" t="e">
        <f>#REF!</f>
        <v>#REF!</v>
      </c>
      <c r="F17" s="67" t="e">
        <f t="shared" si="1"/>
        <v>#REF!</v>
      </c>
      <c r="G17" s="71">
        <f>G212</f>
        <v>338659226</v>
      </c>
      <c r="H17" s="69">
        <f>H212</f>
        <v>359792187.350001</v>
      </c>
      <c r="I17" s="69">
        <f>I212</f>
        <v>377781796.717501</v>
      </c>
    </row>
    <row r="18" spans="1:9">
      <c r="A18" s="70"/>
      <c r="B18" s="64" t="s">
        <v>552</v>
      </c>
      <c r="C18" s="65" t="s">
        <v>69</v>
      </c>
      <c r="D18" s="66">
        <f>D221</f>
        <v>40000000</v>
      </c>
      <c r="E18" s="66">
        <f>E221</f>
        <v>56000000</v>
      </c>
      <c r="F18" s="67">
        <f t="shared" si="1"/>
        <v>96000000</v>
      </c>
      <c r="G18" s="71">
        <f>G221</f>
        <v>20000000</v>
      </c>
      <c r="H18" s="69">
        <f>H221</f>
        <v>21000000</v>
      </c>
      <c r="I18" s="69">
        <f>I221</f>
        <v>22050000</v>
      </c>
    </row>
    <row r="19" spans="1:9">
      <c r="A19" s="70"/>
      <c r="B19" s="64" t="s">
        <v>553</v>
      </c>
      <c r="C19" s="65" t="s">
        <v>71</v>
      </c>
      <c r="D19" s="66">
        <f>D238</f>
        <v>45371824</v>
      </c>
      <c r="E19" s="66">
        <f>E238</f>
        <v>0</v>
      </c>
      <c r="F19" s="67">
        <f t="shared" si="1"/>
        <v>45371824</v>
      </c>
      <c r="G19" s="71">
        <f>G238</f>
        <v>81000000</v>
      </c>
      <c r="H19" s="69">
        <f>H238</f>
        <v>85050000</v>
      </c>
      <c r="I19" s="69">
        <f>I238</f>
        <v>89302500</v>
      </c>
    </row>
    <row r="20" spans="1:9">
      <c r="A20" s="70"/>
      <c r="B20" s="64" t="s">
        <v>554</v>
      </c>
      <c r="C20" s="65" t="s">
        <v>73</v>
      </c>
      <c r="D20" s="66">
        <f>D251</f>
        <v>40371824</v>
      </c>
      <c r="E20" s="66">
        <f>E251</f>
        <v>0</v>
      </c>
      <c r="F20" s="67">
        <f t="shared" si="1"/>
        <v>40371824</v>
      </c>
      <c r="G20" s="71">
        <f>G251</f>
        <v>73250000</v>
      </c>
      <c r="H20" s="69">
        <f>H251</f>
        <v>76912500</v>
      </c>
      <c r="I20" s="69">
        <f>I251</f>
        <v>80758125</v>
      </c>
    </row>
    <row r="21" spans="1:9">
      <c r="A21" s="70"/>
      <c r="B21" s="64" t="s">
        <v>555</v>
      </c>
      <c r="C21" s="65" t="s">
        <v>75</v>
      </c>
      <c r="D21" s="66">
        <f>D258</f>
        <v>10000000</v>
      </c>
      <c r="E21" s="66">
        <f>E258</f>
        <v>0</v>
      </c>
      <c r="F21" s="67">
        <f t="shared" si="1"/>
        <v>10000000</v>
      </c>
      <c r="G21" s="71">
        <f>G258</f>
        <v>10500000</v>
      </c>
      <c r="H21" s="69">
        <f>H258</f>
        <v>11025000</v>
      </c>
      <c r="I21" s="69">
        <f>I258</f>
        <v>11576250</v>
      </c>
    </row>
    <row r="22" spans="1:9">
      <c r="A22" s="72"/>
      <c r="B22" s="64" t="s">
        <v>556</v>
      </c>
      <c r="C22" s="73" t="s">
        <v>77</v>
      </c>
      <c r="D22" s="66" t="e">
        <f t="shared" ref="D22:I22" si="15">D262</f>
        <v>#REF!</v>
      </c>
      <c r="E22" s="66">
        <f t="shared" si="15"/>
        <v>0</v>
      </c>
      <c r="F22" s="67">
        <f t="shared" si="15"/>
        <v>0</v>
      </c>
      <c r="G22" s="71">
        <f t="shared" si="15"/>
        <v>375895000</v>
      </c>
      <c r="H22" s="69">
        <f t="shared" si="15"/>
        <v>394689750</v>
      </c>
      <c r="I22" s="69">
        <f t="shared" si="15"/>
        <v>414424237.5</v>
      </c>
    </row>
    <row r="23" spans="1:9">
      <c r="A23" s="74" t="s">
        <v>557</v>
      </c>
      <c r="B23" s="74"/>
      <c r="C23" s="74"/>
      <c r="D23" s="75" t="e">
        <f t="shared" ref="D23:G23" si="16">SUM(D6:D22)</f>
        <v>#REF!</v>
      </c>
      <c r="E23" s="75" t="e">
        <f t="shared" si="16"/>
        <v>#REF!</v>
      </c>
      <c r="F23" s="76" t="e">
        <f t="shared" si="16"/>
        <v>#REF!</v>
      </c>
      <c r="G23" s="77">
        <f t="shared" si="16"/>
        <v>3828918848</v>
      </c>
      <c r="H23" s="77">
        <f t="shared" ref="H23:I23" si="17">SUM(H6:H22)</f>
        <v>3946864790.95</v>
      </c>
      <c r="I23" s="77">
        <f t="shared" si="17"/>
        <v>4259474771.6475</v>
      </c>
    </row>
    <row r="24" spans="1:9">
      <c r="A24" s="78"/>
      <c r="B24" s="79"/>
      <c r="C24" s="79"/>
      <c r="D24" s="79"/>
      <c r="F24" s="80"/>
      <c r="G24" s="81"/>
      <c r="H24" s="82"/>
      <c r="I24" s="82"/>
    </row>
    <row r="25" ht="21" customHeight="1" spans="1:9">
      <c r="A25" s="83"/>
      <c r="B25" s="84" t="s">
        <v>558</v>
      </c>
      <c r="C25" s="85"/>
      <c r="D25" s="85"/>
      <c r="F25" s="86"/>
      <c r="G25" s="87"/>
      <c r="H25" s="88"/>
      <c r="I25" s="88"/>
    </row>
    <row r="26" spans="1:9">
      <c r="A26" s="89" t="s">
        <v>559</v>
      </c>
      <c r="B26" s="90" t="s">
        <v>560</v>
      </c>
      <c r="C26" s="91" t="s">
        <v>561</v>
      </c>
      <c r="D26" s="92">
        <f>5000000</f>
        <v>5000000</v>
      </c>
      <c r="F26" s="93">
        <f t="shared" ref="F26:F28" si="18">D26+E26</f>
        <v>5000000</v>
      </c>
      <c r="G26" s="71">
        <v>4000000</v>
      </c>
      <c r="H26" s="80">
        <f>G26*1.05</f>
        <v>4200000</v>
      </c>
      <c r="I26" s="80">
        <f>H26*1.05</f>
        <v>4410000</v>
      </c>
    </row>
    <row r="27" spans="1:9">
      <c r="A27" s="94"/>
      <c r="B27" s="90"/>
      <c r="C27" s="91" t="s">
        <v>562</v>
      </c>
      <c r="D27" s="92">
        <f>6000000</f>
        <v>6000000</v>
      </c>
      <c r="F27" s="93">
        <f t="shared" si="18"/>
        <v>6000000</v>
      </c>
      <c r="G27" s="71">
        <v>3000000</v>
      </c>
      <c r="H27" s="80">
        <f>G27*1.05</f>
        <v>3150000</v>
      </c>
      <c r="I27" s="80">
        <f t="shared" ref="I27:I89" si="19">H27*1.05</f>
        <v>3307500</v>
      </c>
    </row>
    <row r="28" spans="1:9">
      <c r="A28" s="95"/>
      <c r="B28" s="90"/>
      <c r="C28" s="96" t="s">
        <v>563</v>
      </c>
      <c r="D28" s="92">
        <f>4000000</f>
        <v>4000000</v>
      </c>
      <c r="F28" s="93">
        <f t="shared" si="18"/>
        <v>4000000</v>
      </c>
      <c r="G28" s="71">
        <v>3000000</v>
      </c>
      <c r="H28" s="80">
        <f>G28*1.05</f>
        <v>3150000</v>
      </c>
      <c r="I28" s="80">
        <f t="shared" si="19"/>
        <v>3307500</v>
      </c>
    </row>
    <row r="29" spans="1:9">
      <c r="A29" s="82"/>
      <c r="B29" s="90"/>
      <c r="C29" s="96"/>
      <c r="D29" s="92"/>
      <c r="F29" s="93"/>
      <c r="G29" s="71"/>
      <c r="H29" s="80">
        <f>G29*1.05</f>
        <v>0</v>
      </c>
      <c r="I29" s="80">
        <f t="shared" si="19"/>
        <v>0</v>
      </c>
    </row>
    <row r="30" spans="1:9">
      <c r="A30" s="97" t="s">
        <v>162</v>
      </c>
      <c r="B30" s="98"/>
      <c r="C30" s="99"/>
      <c r="D30" s="100">
        <f t="shared" ref="D30:H30" si="20">SUM(D26:D29)</f>
        <v>15000000</v>
      </c>
      <c r="E30" s="101">
        <f t="shared" si="20"/>
        <v>0</v>
      </c>
      <c r="F30" s="102">
        <f t="shared" si="20"/>
        <v>15000000</v>
      </c>
      <c r="G30" s="102">
        <f t="shared" si="20"/>
        <v>10000000</v>
      </c>
      <c r="H30" s="102">
        <f t="shared" si="20"/>
        <v>10500000</v>
      </c>
      <c r="I30" s="102">
        <f t="shared" ref="I30" si="21">SUM(I26:I29)</f>
        <v>11025000</v>
      </c>
    </row>
    <row r="31" spans="1:9">
      <c r="A31" s="103"/>
      <c r="B31" s="103"/>
      <c r="C31" s="103"/>
      <c r="D31" s="104"/>
      <c r="E31" s="105"/>
      <c r="F31" s="106"/>
      <c r="G31" s="107"/>
      <c r="H31" s="106"/>
      <c r="I31" s="80">
        <f t="shared" si="19"/>
        <v>0</v>
      </c>
    </row>
    <row r="32" spans="1:9">
      <c r="A32" s="108" t="s">
        <v>564</v>
      </c>
      <c r="B32" s="108"/>
      <c r="C32" s="108"/>
      <c r="D32" s="108"/>
      <c r="E32" s="109"/>
      <c r="F32" s="110"/>
      <c r="G32" s="111"/>
      <c r="H32" s="112"/>
      <c r="I32" s="86"/>
    </row>
    <row r="33" spans="1:9">
      <c r="A33" s="113"/>
      <c r="B33" s="113"/>
      <c r="C33" s="113" t="s">
        <v>48</v>
      </c>
      <c r="D33" s="113">
        <v>40000000</v>
      </c>
      <c r="F33" s="93">
        <f>D33+E33</f>
        <v>40000000</v>
      </c>
      <c r="G33" s="114">
        <v>30000000</v>
      </c>
      <c r="H33" s="80">
        <f t="shared" ref="H33:H39" si="22">G33*1.05</f>
        <v>31500000</v>
      </c>
      <c r="I33" s="80">
        <f t="shared" si="19"/>
        <v>33075000</v>
      </c>
    </row>
    <row r="34" spans="1:9">
      <c r="A34" s="115"/>
      <c r="B34" s="116"/>
      <c r="C34" s="116"/>
      <c r="D34" s="85"/>
      <c r="F34" s="93"/>
      <c r="G34" s="71"/>
      <c r="H34" s="80"/>
      <c r="I34" s="80"/>
    </row>
    <row r="35" spans="1:9">
      <c r="A35" s="117"/>
      <c r="B35" s="84" t="s">
        <v>565</v>
      </c>
      <c r="C35" s="85"/>
      <c r="D35" s="85"/>
      <c r="F35" s="86"/>
      <c r="G35" s="118"/>
      <c r="H35" s="86"/>
      <c r="I35" s="86"/>
    </row>
    <row r="36" spans="1:9">
      <c r="A36" s="89" t="s">
        <v>559</v>
      </c>
      <c r="B36" s="90" t="s">
        <v>560</v>
      </c>
      <c r="C36" s="119" t="s">
        <v>566</v>
      </c>
      <c r="D36" s="92">
        <f>20000000</f>
        <v>20000000</v>
      </c>
      <c r="F36" s="93">
        <f>D36+E36</f>
        <v>20000000</v>
      </c>
      <c r="G36" s="71">
        <v>30000000</v>
      </c>
      <c r="H36" s="80">
        <f t="shared" si="22"/>
        <v>31500000</v>
      </c>
      <c r="I36" s="80">
        <f t="shared" si="19"/>
        <v>33075000</v>
      </c>
    </row>
    <row r="37" spans="1:9">
      <c r="A37" s="94"/>
      <c r="B37" s="90"/>
      <c r="C37" s="119" t="s">
        <v>567</v>
      </c>
      <c r="D37" s="92"/>
      <c r="E37" s="44">
        <v>2000000</v>
      </c>
      <c r="F37" s="93">
        <f>D37+E37</f>
        <v>2000000</v>
      </c>
      <c r="G37" s="71">
        <v>0</v>
      </c>
      <c r="H37" s="80">
        <f t="shared" si="22"/>
        <v>0</v>
      </c>
      <c r="I37" s="80">
        <f t="shared" si="19"/>
        <v>0</v>
      </c>
    </row>
    <row r="38" spans="1:9">
      <c r="A38" s="94"/>
      <c r="B38" s="90"/>
      <c r="C38" s="119" t="s">
        <v>568</v>
      </c>
      <c r="D38" s="92"/>
      <c r="F38" s="93"/>
      <c r="G38" s="71">
        <v>3000000</v>
      </c>
      <c r="H38" s="80">
        <f t="shared" si="22"/>
        <v>3150000</v>
      </c>
      <c r="I38" s="80">
        <f t="shared" si="19"/>
        <v>3307500</v>
      </c>
    </row>
    <row r="39" spans="1:9">
      <c r="A39" s="95"/>
      <c r="B39" s="90"/>
      <c r="C39" s="119" t="s">
        <v>569</v>
      </c>
      <c r="D39" s="92">
        <f>26000000</f>
        <v>26000000</v>
      </c>
      <c r="F39" s="93">
        <f>D39+E39</f>
        <v>26000000</v>
      </c>
      <c r="G39" s="71">
        <v>0</v>
      </c>
      <c r="H39" s="80">
        <f t="shared" si="22"/>
        <v>0</v>
      </c>
      <c r="I39" s="80">
        <f t="shared" si="19"/>
        <v>0</v>
      </c>
    </row>
    <row r="40" spans="1:9">
      <c r="A40" s="120" t="s">
        <v>162</v>
      </c>
      <c r="B40" s="120"/>
      <c r="C40" s="120"/>
      <c r="D40" s="100">
        <f t="shared" ref="D40:I40" si="23">SUM(D36:D39)</f>
        <v>46000000</v>
      </c>
      <c r="E40" s="101">
        <f t="shared" si="23"/>
        <v>2000000</v>
      </c>
      <c r="F40" s="102">
        <f t="shared" si="23"/>
        <v>48000000</v>
      </c>
      <c r="G40" s="102">
        <f t="shared" si="23"/>
        <v>33000000</v>
      </c>
      <c r="H40" s="102">
        <f t="shared" si="23"/>
        <v>34650000</v>
      </c>
      <c r="I40" s="102">
        <f t="shared" si="23"/>
        <v>36382500</v>
      </c>
    </row>
    <row r="41" spans="1:9">
      <c r="A41" s="79"/>
      <c r="B41" s="79"/>
      <c r="C41" s="79"/>
      <c r="D41" s="79"/>
      <c r="F41" s="80"/>
      <c r="G41" s="71"/>
      <c r="H41" s="80">
        <f t="shared" ref="H41:H70" si="24">G41*1.05</f>
        <v>0</v>
      </c>
      <c r="I41" s="80">
        <f t="shared" si="19"/>
        <v>0</v>
      </c>
    </row>
    <row r="42" spans="1:9">
      <c r="A42" s="83" t="s">
        <v>570</v>
      </c>
      <c r="B42" s="84" t="s">
        <v>570</v>
      </c>
      <c r="C42" s="85"/>
      <c r="D42" s="85"/>
      <c r="F42" s="86"/>
      <c r="G42" s="118"/>
      <c r="H42" s="86"/>
      <c r="I42" s="86"/>
    </row>
    <row r="43" spans="1:9">
      <c r="A43" s="89" t="s">
        <v>571</v>
      </c>
      <c r="B43" s="90" t="s">
        <v>572</v>
      </c>
      <c r="C43" s="121" t="s">
        <v>573</v>
      </c>
      <c r="D43" s="92">
        <f>195000000</f>
        <v>195000000</v>
      </c>
      <c r="E43" s="44">
        <v>-70000000</v>
      </c>
      <c r="F43" s="93">
        <f t="shared" ref="F43:F70" si="25">D43+E43</f>
        <v>125000000</v>
      </c>
      <c r="G43" s="71">
        <v>195000000</v>
      </c>
      <c r="H43" s="80">
        <f t="shared" si="24"/>
        <v>204750000</v>
      </c>
      <c r="I43" s="80">
        <f t="shared" si="19"/>
        <v>214987500</v>
      </c>
    </row>
    <row r="44" spans="1:9">
      <c r="A44" s="95"/>
      <c r="B44" s="90"/>
      <c r="C44" s="121" t="s">
        <v>574</v>
      </c>
      <c r="D44" s="92"/>
      <c r="F44" s="93">
        <f t="shared" si="25"/>
        <v>0</v>
      </c>
      <c r="G44" s="71">
        <v>2399127</v>
      </c>
      <c r="H44" s="80">
        <f t="shared" si="24"/>
        <v>2519083.35</v>
      </c>
      <c r="I44" s="80">
        <f t="shared" si="19"/>
        <v>2645037.5175</v>
      </c>
    </row>
    <row r="45" customHeight="1" spans="1:9">
      <c r="A45" s="122"/>
      <c r="B45" s="48"/>
      <c r="C45" s="121"/>
      <c r="D45" s="92"/>
      <c r="F45" s="80"/>
      <c r="G45" s="71"/>
      <c r="H45" s="80"/>
      <c r="I45" s="80"/>
    </row>
    <row r="46" s="44" customFormat="1" ht="52.5" customHeight="1" spans="1:9">
      <c r="A46" s="123" t="s">
        <v>575</v>
      </c>
      <c r="B46" s="124" t="s">
        <v>560</v>
      </c>
      <c r="C46" s="119" t="s">
        <v>576</v>
      </c>
      <c r="D46" s="92">
        <f>10000000</f>
        <v>10000000</v>
      </c>
      <c r="F46" s="93">
        <f t="shared" si="25"/>
        <v>10000000</v>
      </c>
      <c r="G46" s="71">
        <v>0</v>
      </c>
      <c r="H46" s="80">
        <f t="shared" si="24"/>
        <v>0</v>
      </c>
      <c r="I46" s="80">
        <f t="shared" si="19"/>
        <v>0</v>
      </c>
    </row>
    <row r="47" s="44" customFormat="1" spans="1:9">
      <c r="A47" s="125"/>
      <c r="B47" s="126"/>
      <c r="C47" s="119" t="s">
        <v>577</v>
      </c>
      <c r="D47" s="92">
        <v>10918919</v>
      </c>
      <c r="F47" s="93">
        <f t="shared" si="25"/>
        <v>10918919</v>
      </c>
      <c r="G47" s="71">
        <f>[1]Revenues!H14</f>
        <v>10918919</v>
      </c>
      <c r="H47" s="80">
        <f t="shared" si="24"/>
        <v>11464864.95</v>
      </c>
      <c r="I47" s="80">
        <f t="shared" si="19"/>
        <v>12038108.1975</v>
      </c>
    </row>
    <row r="48" s="44" customFormat="1" hidden="1" spans="1:9">
      <c r="A48" s="125"/>
      <c r="B48" s="126"/>
      <c r="C48" s="119" t="s">
        <v>578</v>
      </c>
      <c r="D48" s="92"/>
      <c r="F48" s="93">
        <f t="shared" si="25"/>
        <v>0</v>
      </c>
      <c r="G48" s="71">
        <f t="shared" ref="G48:G88" si="26">F48*1.05</f>
        <v>0</v>
      </c>
      <c r="H48" s="80">
        <f t="shared" si="24"/>
        <v>0</v>
      </c>
      <c r="I48" s="80">
        <f t="shared" si="19"/>
        <v>0</v>
      </c>
    </row>
    <row r="49" s="44" customFormat="1" hidden="1" spans="1:9">
      <c r="A49" s="125"/>
      <c r="B49" s="126"/>
      <c r="C49" s="119"/>
      <c r="D49" s="92"/>
      <c r="F49" s="93">
        <f t="shared" si="25"/>
        <v>0</v>
      </c>
      <c r="G49" s="71">
        <f t="shared" si="26"/>
        <v>0</v>
      </c>
      <c r="H49" s="80">
        <f t="shared" si="24"/>
        <v>0</v>
      </c>
      <c r="I49" s="80">
        <f t="shared" si="19"/>
        <v>0</v>
      </c>
    </row>
    <row r="50" s="44" customFormat="1" ht="36" hidden="1" spans="1:9">
      <c r="A50" s="125"/>
      <c r="B50" s="126"/>
      <c r="C50" s="119" t="s">
        <v>579</v>
      </c>
      <c r="D50" s="92"/>
      <c r="F50" s="93">
        <f t="shared" si="25"/>
        <v>0</v>
      </c>
      <c r="G50" s="71">
        <f t="shared" si="26"/>
        <v>0</v>
      </c>
      <c r="H50" s="80">
        <f t="shared" si="24"/>
        <v>0</v>
      </c>
      <c r="I50" s="80">
        <f t="shared" si="19"/>
        <v>0</v>
      </c>
    </row>
    <row r="51" s="44" customFormat="1" hidden="1" spans="1:9">
      <c r="A51" s="125"/>
      <c r="B51" s="126"/>
      <c r="C51" s="119" t="s">
        <v>580</v>
      </c>
      <c r="D51" s="92"/>
      <c r="F51" s="93">
        <f t="shared" si="25"/>
        <v>0</v>
      </c>
      <c r="G51" s="71">
        <f t="shared" si="26"/>
        <v>0</v>
      </c>
      <c r="H51" s="80">
        <f t="shared" si="24"/>
        <v>0</v>
      </c>
      <c r="I51" s="80">
        <f t="shared" si="19"/>
        <v>0</v>
      </c>
    </row>
    <row r="52" s="44" customFormat="1" hidden="1" spans="1:9">
      <c r="A52" s="125"/>
      <c r="B52" s="126"/>
      <c r="C52" s="119" t="s">
        <v>581</v>
      </c>
      <c r="D52" s="92"/>
      <c r="E52" s="44">
        <v>9367507</v>
      </c>
      <c r="F52" s="93">
        <f t="shared" si="25"/>
        <v>9367507</v>
      </c>
      <c r="G52" s="71">
        <v>0</v>
      </c>
      <c r="H52" s="80">
        <f t="shared" si="24"/>
        <v>0</v>
      </c>
      <c r="I52" s="80">
        <f t="shared" si="19"/>
        <v>0</v>
      </c>
    </row>
    <row r="53" s="44" customFormat="1" spans="1:9">
      <c r="A53" s="125"/>
      <c r="B53" s="126"/>
      <c r="C53" s="119" t="s">
        <v>582</v>
      </c>
      <c r="D53" s="92"/>
      <c r="F53" s="93">
        <f t="shared" si="25"/>
        <v>0</v>
      </c>
      <c r="G53" s="71">
        <f t="shared" si="26"/>
        <v>0</v>
      </c>
      <c r="H53" s="80">
        <f t="shared" si="24"/>
        <v>0</v>
      </c>
      <c r="I53" s="80">
        <f t="shared" si="19"/>
        <v>0</v>
      </c>
    </row>
    <row r="54" s="44" customFormat="1" spans="1:9">
      <c r="A54" s="125"/>
      <c r="B54" s="126"/>
      <c r="C54" s="119" t="s">
        <v>583</v>
      </c>
      <c r="D54" s="92">
        <f>5000000</f>
        <v>5000000</v>
      </c>
      <c r="F54" s="93">
        <f t="shared" si="25"/>
        <v>5000000</v>
      </c>
      <c r="G54" s="71">
        <f t="shared" si="26"/>
        <v>5250000</v>
      </c>
      <c r="H54" s="80">
        <f t="shared" si="24"/>
        <v>5512500</v>
      </c>
      <c r="I54" s="80">
        <f t="shared" si="19"/>
        <v>5788125</v>
      </c>
    </row>
    <row r="55" s="44" customFormat="1" spans="1:9">
      <c r="A55" s="125"/>
      <c r="B55" s="126"/>
      <c r="C55" s="119" t="s">
        <v>584</v>
      </c>
      <c r="D55" s="92">
        <v>151515152</v>
      </c>
      <c r="F55" s="93">
        <f t="shared" si="25"/>
        <v>151515152</v>
      </c>
      <c r="G55" s="71">
        <f>[1]Revenues!H17</f>
        <v>151515152</v>
      </c>
      <c r="H55" s="80">
        <f t="shared" si="24"/>
        <v>159090909.6</v>
      </c>
      <c r="I55" s="80">
        <f t="shared" si="19"/>
        <v>167045455.08</v>
      </c>
    </row>
    <row r="56" s="44" customFormat="1" spans="1:9">
      <c r="A56" s="127"/>
      <c r="B56" s="128"/>
      <c r="C56" s="119" t="s">
        <v>585</v>
      </c>
      <c r="D56" s="92">
        <f>20000000</f>
        <v>20000000</v>
      </c>
      <c r="F56" s="93">
        <f t="shared" si="25"/>
        <v>20000000</v>
      </c>
      <c r="G56" s="71">
        <v>16650000</v>
      </c>
      <c r="H56" s="80">
        <f t="shared" si="24"/>
        <v>17482500</v>
      </c>
      <c r="I56" s="80">
        <f t="shared" si="19"/>
        <v>18356625</v>
      </c>
    </row>
    <row r="57" s="44" customFormat="1" spans="1:9">
      <c r="A57" s="129" t="s">
        <v>586</v>
      </c>
      <c r="B57" s="90"/>
      <c r="C57" s="130" t="s">
        <v>587</v>
      </c>
      <c r="D57" s="92">
        <f>10000000</f>
        <v>10000000</v>
      </c>
      <c r="F57" s="93">
        <f t="shared" si="25"/>
        <v>10000000</v>
      </c>
      <c r="G57" s="71">
        <f t="shared" si="26"/>
        <v>10500000</v>
      </c>
      <c r="H57" s="80">
        <f t="shared" si="24"/>
        <v>11025000</v>
      </c>
      <c r="I57" s="80">
        <f t="shared" si="19"/>
        <v>11576250</v>
      </c>
    </row>
    <row r="58" s="44" customFormat="1" spans="1:9">
      <c r="A58" s="131"/>
      <c r="B58" s="132" t="s">
        <v>588</v>
      </c>
      <c r="C58" s="119" t="s">
        <v>589</v>
      </c>
      <c r="D58" s="92">
        <f>90000000</f>
        <v>90000000</v>
      </c>
      <c r="E58" s="44">
        <v>105000000</v>
      </c>
      <c r="F58" s="93">
        <f t="shared" si="25"/>
        <v>195000000</v>
      </c>
      <c r="G58" s="71">
        <v>220000000</v>
      </c>
      <c r="H58" s="80">
        <f t="shared" si="24"/>
        <v>231000000</v>
      </c>
      <c r="I58" s="80">
        <f t="shared" si="19"/>
        <v>242550000</v>
      </c>
    </row>
    <row r="59" s="44" customFormat="1" ht="24" customHeight="1" spans="1:9">
      <c r="A59" s="131"/>
      <c r="B59" s="132"/>
      <c r="C59" s="119"/>
      <c r="D59" s="92"/>
      <c r="F59" s="93">
        <f t="shared" si="25"/>
        <v>0</v>
      </c>
      <c r="G59" s="71">
        <f t="shared" si="26"/>
        <v>0</v>
      </c>
      <c r="H59" s="80">
        <f t="shared" si="24"/>
        <v>0</v>
      </c>
      <c r="I59" s="80">
        <f t="shared" si="19"/>
        <v>0</v>
      </c>
    </row>
    <row r="60" s="44" customFormat="1" hidden="1" spans="1:9">
      <c r="A60" s="131"/>
      <c r="B60" s="90" t="s">
        <v>590</v>
      </c>
      <c r="C60" s="119" t="s">
        <v>591</v>
      </c>
      <c r="D60" s="92"/>
      <c r="F60" s="93">
        <f t="shared" si="25"/>
        <v>0</v>
      </c>
      <c r="G60" s="71">
        <f t="shared" si="26"/>
        <v>0</v>
      </c>
      <c r="H60" s="80">
        <f t="shared" si="24"/>
        <v>0</v>
      </c>
      <c r="I60" s="80">
        <f t="shared" si="19"/>
        <v>0</v>
      </c>
    </row>
    <row r="61" s="44" customFormat="1" hidden="1" spans="1:9">
      <c r="A61" s="133"/>
      <c r="B61" s="90"/>
      <c r="C61" s="119" t="s">
        <v>592</v>
      </c>
      <c r="D61" s="92"/>
      <c r="F61" s="93">
        <f t="shared" si="25"/>
        <v>0</v>
      </c>
      <c r="G61" s="71">
        <f t="shared" si="26"/>
        <v>0</v>
      </c>
      <c r="H61" s="80">
        <f t="shared" si="24"/>
        <v>0</v>
      </c>
      <c r="I61" s="80">
        <f t="shared" si="19"/>
        <v>0</v>
      </c>
    </row>
    <row r="62" s="44" customFormat="1" hidden="1" spans="1:9">
      <c r="A62" s="134"/>
      <c r="B62" s="132"/>
      <c r="C62" s="119"/>
      <c r="D62" s="92"/>
      <c r="F62" s="93">
        <f t="shared" si="25"/>
        <v>0</v>
      </c>
      <c r="G62" s="71">
        <f t="shared" si="26"/>
        <v>0</v>
      </c>
      <c r="H62" s="80">
        <f t="shared" si="24"/>
        <v>0</v>
      </c>
      <c r="I62" s="80">
        <f t="shared" si="19"/>
        <v>0</v>
      </c>
    </row>
    <row r="63" s="44" customFormat="1" ht="0.75" customHeight="1" spans="1:9">
      <c r="A63" s="123" t="s">
        <v>225</v>
      </c>
      <c r="B63" s="90" t="s">
        <v>593</v>
      </c>
      <c r="C63" s="96" t="s">
        <v>594</v>
      </c>
      <c r="D63" s="92"/>
      <c r="F63" s="93">
        <f t="shared" si="25"/>
        <v>0</v>
      </c>
      <c r="G63" s="71">
        <f t="shared" si="26"/>
        <v>0</v>
      </c>
      <c r="H63" s="80">
        <f t="shared" si="24"/>
        <v>0</v>
      </c>
      <c r="I63" s="80">
        <f t="shared" si="19"/>
        <v>0</v>
      </c>
    </row>
    <row r="64" s="44" customFormat="1" ht="0.75" hidden="1" customHeight="1" spans="1:9">
      <c r="A64" s="125"/>
      <c r="B64" s="90"/>
      <c r="C64" s="96" t="s">
        <v>595</v>
      </c>
      <c r="D64" s="92">
        <f>5300000</f>
        <v>5300000</v>
      </c>
      <c r="F64" s="93">
        <f t="shared" si="25"/>
        <v>5300000</v>
      </c>
      <c r="G64" s="71"/>
      <c r="H64" s="80">
        <f t="shared" si="24"/>
        <v>0</v>
      </c>
      <c r="I64" s="80">
        <f t="shared" si="19"/>
        <v>0</v>
      </c>
    </row>
    <row r="65" s="44" customFormat="1" hidden="1" spans="1:9">
      <c r="A65" s="125"/>
      <c r="B65" s="135"/>
      <c r="C65" s="96" t="s">
        <v>596</v>
      </c>
      <c r="D65" s="92"/>
      <c r="F65" s="93">
        <f t="shared" si="25"/>
        <v>0</v>
      </c>
      <c r="G65" s="71">
        <f t="shared" si="26"/>
        <v>0</v>
      </c>
      <c r="H65" s="80">
        <f t="shared" si="24"/>
        <v>0</v>
      </c>
      <c r="I65" s="80">
        <f t="shared" si="19"/>
        <v>0</v>
      </c>
    </row>
    <row r="66" s="44" customFormat="1" spans="1:9">
      <c r="A66" s="125"/>
      <c r="B66" s="124" t="s">
        <v>597</v>
      </c>
      <c r="C66" s="130" t="s">
        <v>598</v>
      </c>
      <c r="D66" s="92">
        <f>2700000</f>
        <v>2700000</v>
      </c>
      <c r="F66" s="93">
        <f t="shared" si="25"/>
        <v>2700000</v>
      </c>
      <c r="G66" s="71"/>
      <c r="H66" s="80">
        <f t="shared" si="24"/>
        <v>0</v>
      </c>
      <c r="I66" s="80">
        <f t="shared" si="19"/>
        <v>0</v>
      </c>
    </row>
    <row r="67" s="44" customFormat="1" spans="1:9">
      <c r="A67" s="125"/>
      <c r="B67" s="126"/>
      <c r="C67" s="130" t="s">
        <v>599</v>
      </c>
      <c r="D67" s="92">
        <v>0</v>
      </c>
      <c r="F67" s="93">
        <f t="shared" si="25"/>
        <v>0</v>
      </c>
      <c r="G67" s="71">
        <f>F67*1.05</f>
        <v>0</v>
      </c>
      <c r="H67" s="80">
        <f t="shared" si="24"/>
        <v>0</v>
      </c>
      <c r="I67" s="80">
        <f t="shared" si="19"/>
        <v>0</v>
      </c>
    </row>
    <row r="68" spans="1:9">
      <c r="A68" s="125"/>
      <c r="B68" s="126"/>
      <c r="C68" s="130" t="s">
        <v>600</v>
      </c>
      <c r="D68" s="92">
        <f>10000000</f>
        <v>10000000</v>
      </c>
      <c r="E68" s="44">
        <v>0</v>
      </c>
      <c r="F68" s="93">
        <f t="shared" si="25"/>
        <v>10000000</v>
      </c>
      <c r="G68" s="71">
        <v>10000000</v>
      </c>
      <c r="H68" s="80">
        <f t="shared" si="24"/>
        <v>10500000</v>
      </c>
      <c r="I68" s="80">
        <f t="shared" si="19"/>
        <v>11025000</v>
      </c>
    </row>
    <row r="69" spans="1:9">
      <c r="A69" s="125"/>
      <c r="B69" s="128"/>
      <c r="C69" s="96" t="s">
        <v>601</v>
      </c>
      <c r="D69" s="92">
        <f>5000000</f>
        <v>5000000</v>
      </c>
      <c r="F69" s="93">
        <f t="shared" si="25"/>
        <v>5000000</v>
      </c>
      <c r="G69" s="71">
        <v>1000000</v>
      </c>
      <c r="H69" s="80">
        <f t="shared" si="24"/>
        <v>1050000</v>
      </c>
      <c r="I69" s="80">
        <f t="shared" si="19"/>
        <v>1102500</v>
      </c>
    </row>
    <row r="70" spans="1:9">
      <c r="A70" s="127"/>
      <c r="B70" s="135"/>
      <c r="C70" s="82"/>
      <c r="D70" s="136"/>
      <c r="F70" s="93">
        <f t="shared" si="25"/>
        <v>0</v>
      </c>
      <c r="G70" s="71">
        <f t="shared" si="26"/>
        <v>0</v>
      </c>
      <c r="H70" s="80">
        <f t="shared" si="24"/>
        <v>0</v>
      </c>
      <c r="I70" s="80">
        <f t="shared" si="19"/>
        <v>0</v>
      </c>
    </row>
    <row r="71" spans="1:9">
      <c r="A71" s="97" t="s">
        <v>162</v>
      </c>
      <c r="B71" s="98"/>
      <c r="C71" s="99"/>
      <c r="D71" s="100">
        <f t="shared" ref="D71:I71" si="27">SUM(D43:D70)</f>
        <v>515434071</v>
      </c>
      <c r="E71" s="101">
        <f t="shared" si="27"/>
        <v>44367507</v>
      </c>
      <c r="F71" s="102">
        <f t="shared" si="27"/>
        <v>559801578</v>
      </c>
      <c r="G71" s="100">
        <f t="shared" si="27"/>
        <v>623233198</v>
      </c>
      <c r="H71" s="100">
        <f t="shared" si="27"/>
        <v>654394857.9</v>
      </c>
      <c r="I71" s="100">
        <f t="shared" si="27"/>
        <v>687114600.795</v>
      </c>
    </row>
    <row r="72" spans="1:9">
      <c r="A72" s="79"/>
      <c r="B72" s="79"/>
      <c r="C72" s="79"/>
      <c r="D72" s="79"/>
      <c r="F72" s="80"/>
      <c r="G72" s="71"/>
      <c r="H72" s="80"/>
      <c r="I72" s="80"/>
    </row>
    <row r="73" spans="1:9">
      <c r="A73" s="83"/>
      <c r="B73" s="137" t="s">
        <v>602</v>
      </c>
      <c r="C73" s="138"/>
      <c r="D73" s="138"/>
      <c r="E73" s="139"/>
      <c r="F73" s="140"/>
      <c r="G73" s="141"/>
      <c r="H73" s="86"/>
      <c r="I73" s="86"/>
    </row>
    <row r="74" spans="1:9">
      <c r="A74" s="94"/>
      <c r="B74" s="142"/>
      <c r="C74" s="143" t="s">
        <v>603</v>
      </c>
      <c r="D74" s="144">
        <v>280000000</v>
      </c>
      <c r="E74" s="44">
        <v>-19000000</v>
      </c>
      <c r="F74" s="93">
        <f t="shared" ref="F74:F90" si="28">D74+E74</f>
        <v>261000000</v>
      </c>
      <c r="G74" s="71">
        <v>150000000</v>
      </c>
      <c r="H74" s="80">
        <f>G74*1.05</f>
        <v>157500000</v>
      </c>
      <c r="I74" s="80">
        <f t="shared" si="19"/>
        <v>165375000</v>
      </c>
    </row>
    <row r="75" spans="1:9">
      <c r="A75" s="94"/>
      <c r="B75" s="142"/>
      <c r="C75" s="119" t="s">
        <v>604</v>
      </c>
      <c r="D75" s="92">
        <f>15000000</f>
        <v>15000000</v>
      </c>
      <c r="F75" s="93">
        <f t="shared" si="28"/>
        <v>15000000</v>
      </c>
      <c r="G75" s="71">
        <v>10500000</v>
      </c>
      <c r="H75" s="80">
        <f>G75*1.05</f>
        <v>11025000</v>
      </c>
      <c r="I75" s="80">
        <f t="shared" si="19"/>
        <v>11576250</v>
      </c>
    </row>
    <row r="76" ht="17.25" customHeight="1" spans="1:9">
      <c r="A76" s="95"/>
      <c r="B76" s="142"/>
      <c r="C76" s="119" t="s">
        <v>605</v>
      </c>
      <c r="D76" s="92">
        <f>22000000</f>
        <v>22000000</v>
      </c>
      <c r="E76" s="44">
        <v>-11000000</v>
      </c>
      <c r="F76" s="93">
        <f t="shared" si="28"/>
        <v>11000000</v>
      </c>
      <c r="G76" s="71">
        <v>10000000</v>
      </c>
      <c r="H76" s="80">
        <f>G76*1.05</f>
        <v>10500000</v>
      </c>
      <c r="I76" s="80">
        <f t="shared" si="19"/>
        <v>11025000</v>
      </c>
    </row>
    <row r="77" ht="1.5" hidden="1" customHeight="1" spans="1:9">
      <c r="A77" s="94"/>
      <c r="B77" s="123"/>
      <c r="C77" s="119" t="s">
        <v>527</v>
      </c>
      <c r="D77" s="92"/>
      <c r="F77" s="93"/>
      <c r="G77" s="114"/>
      <c r="H77" s="80"/>
      <c r="I77" s="80">
        <f t="shared" si="19"/>
        <v>0</v>
      </c>
    </row>
    <row r="78" ht="34.8" spans="1:9">
      <c r="A78" s="145" t="s">
        <v>246</v>
      </c>
      <c r="B78" s="123" t="s">
        <v>606</v>
      </c>
      <c r="C78" s="119" t="s">
        <v>607</v>
      </c>
      <c r="D78" s="136">
        <v>512000000</v>
      </c>
      <c r="E78" s="44">
        <v>82100000</v>
      </c>
      <c r="F78" s="93">
        <f>D78+E78</f>
        <v>594100000</v>
      </c>
      <c r="G78" s="71">
        <f>768000000</f>
        <v>768000000</v>
      </c>
      <c r="H78" s="71">
        <f t="shared" ref="H78:I78" si="29">735000000</f>
        <v>735000000</v>
      </c>
      <c r="I78" s="71">
        <f t="shared" si="29"/>
        <v>735000000</v>
      </c>
    </row>
    <row r="79" spans="1:9">
      <c r="A79" s="146"/>
      <c r="B79" s="145"/>
      <c r="C79" s="119" t="s">
        <v>585</v>
      </c>
      <c r="D79" s="92"/>
      <c r="F79" s="93"/>
      <c r="G79" s="71">
        <f>150967003</f>
        <v>150967003</v>
      </c>
      <c r="H79" s="80"/>
      <c r="I79" s="80">
        <f t="shared" si="19"/>
        <v>0</v>
      </c>
    </row>
    <row r="80" hidden="1" spans="1:9">
      <c r="A80" s="146"/>
      <c r="B80" s="145"/>
      <c r="C80" s="119"/>
      <c r="D80" s="92"/>
      <c r="F80" s="93"/>
      <c r="G80" s="71"/>
      <c r="H80" s="80"/>
      <c r="I80" s="80">
        <f t="shared" si="19"/>
        <v>0</v>
      </c>
    </row>
    <row r="81" hidden="1" spans="1:9">
      <c r="A81" s="146"/>
      <c r="B81" s="145"/>
      <c r="C81" s="119"/>
      <c r="D81" s="92"/>
      <c r="F81" s="93"/>
      <c r="G81" s="71"/>
      <c r="H81" s="80"/>
      <c r="I81" s="80">
        <f t="shared" si="19"/>
        <v>0</v>
      </c>
    </row>
    <row r="82" hidden="1" spans="1:9">
      <c r="A82" s="146"/>
      <c r="B82" s="145"/>
      <c r="C82" s="119"/>
      <c r="D82" s="92"/>
      <c r="F82" s="93"/>
      <c r="G82" s="71"/>
      <c r="H82" s="80"/>
      <c r="I82" s="80">
        <f t="shared" si="19"/>
        <v>0</v>
      </c>
    </row>
    <row r="83" hidden="1" spans="1:9">
      <c r="A83" s="146"/>
      <c r="B83" s="145"/>
      <c r="C83" s="119"/>
      <c r="D83" s="92"/>
      <c r="F83" s="93"/>
      <c r="G83" s="71"/>
      <c r="H83" s="80"/>
      <c r="I83" s="80">
        <f t="shared" si="19"/>
        <v>0</v>
      </c>
    </row>
    <row r="84" hidden="1" spans="1:9">
      <c r="A84" s="146"/>
      <c r="B84" s="145"/>
      <c r="C84" s="119"/>
      <c r="D84" s="92"/>
      <c r="F84" s="93"/>
      <c r="G84" s="114"/>
      <c r="H84" s="80"/>
      <c r="I84" s="80">
        <f t="shared" si="19"/>
        <v>0</v>
      </c>
    </row>
    <row r="85" spans="1:9">
      <c r="A85" s="123" t="s">
        <v>608</v>
      </c>
      <c r="B85" s="90" t="s">
        <v>609</v>
      </c>
      <c r="C85" s="119" t="s">
        <v>610</v>
      </c>
      <c r="D85" s="92">
        <f>5000000</f>
        <v>5000000</v>
      </c>
      <c r="E85" s="44">
        <v>-4000000</v>
      </c>
      <c r="F85" s="93">
        <f t="shared" si="28"/>
        <v>1000000</v>
      </c>
      <c r="G85" s="71">
        <v>0</v>
      </c>
      <c r="H85" s="80">
        <f>G85*1.05</f>
        <v>0</v>
      </c>
      <c r="I85" s="80">
        <f t="shared" si="19"/>
        <v>0</v>
      </c>
    </row>
    <row r="86" spans="1:9">
      <c r="A86" s="125"/>
      <c r="B86" s="90"/>
      <c r="C86" s="119" t="s">
        <v>611</v>
      </c>
      <c r="D86" s="92">
        <v>270941894</v>
      </c>
      <c r="F86" s="93">
        <f t="shared" si="28"/>
        <v>270941894</v>
      </c>
      <c r="G86" s="71">
        <v>270941894</v>
      </c>
      <c r="H86" s="80">
        <f>G86*1.05</f>
        <v>284488988.7</v>
      </c>
      <c r="I86" s="80">
        <f t="shared" si="19"/>
        <v>298713438.135</v>
      </c>
    </row>
    <row r="87" spans="1:9">
      <c r="A87" s="125"/>
      <c r="B87" s="90"/>
      <c r="C87" s="119" t="s">
        <v>612</v>
      </c>
      <c r="D87" s="92">
        <v>50000000</v>
      </c>
      <c r="F87" s="93">
        <f t="shared" si="28"/>
        <v>50000000</v>
      </c>
      <c r="G87" s="71">
        <v>0</v>
      </c>
      <c r="H87" s="80">
        <v>224088097</v>
      </c>
      <c r="I87" s="80">
        <v>387309243</v>
      </c>
    </row>
    <row r="88" ht="0.75" customHeight="1" spans="1:9">
      <c r="A88" s="127"/>
      <c r="B88" s="90"/>
      <c r="C88" s="119"/>
      <c r="D88" s="92"/>
      <c r="F88" s="93">
        <f t="shared" si="28"/>
        <v>0</v>
      </c>
      <c r="G88" s="71">
        <f t="shared" si="26"/>
        <v>0</v>
      </c>
      <c r="H88" s="80">
        <f>G88*1.05</f>
        <v>0</v>
      </c>
      <c r="I88" s="80">
        <f t="shared" si="19"/>
        <v>0</v>
      </c>
    </row>
    <row r="89" spans="1:9">
      <c r="A89" s="89" t="s">
        <v>613</v>
      </c>
      <c r="B89" s="90" t="s">
        <v>614</v>
      </c>
      <c r="C89" s="119" t="s">
        <v>615</v>
      </c>
      <c r="D89" s="92">
        <f>30000000</f>
        <v>30000000</v>
      </c>
      <c r="E89" s="44">
        <v>16000000</v>
      </c>
      <c r="F89" s="93">
        <f t="shared" si="28"/>
        <v>46000000</v>
      </c>
      <c r="G89" s="71">
        <f>37000000</f>
        <v>37000000</v>
      </c>
      <c r="H89" s="80">
        <f>G89*1.05</f>
        <v>38850000</v>
      </c>
      <c r="I89" s="80">
        <f t="shared" si="19"/>
        <v>40792500</v>
      </c>
    </row>
    <row r="90" ht="19.5" customHeight="1" spans="1:9">
      <c r="A90" s="95"/>
      <c r="B90" s="90"/>
      <c r="C90" s="119" t="s">
        <v>616</v>
      </c>
      <c r="D90" s="92"/>
      <c r="E90" s="44">
        <v>20000000</v>
      </c>
      <c r="F90" s="93">
        <f t="shared" si="28"/>
        <v>20000000</v>
      </c>
      <c r="G90" s="71">
        <v>30000000</v>
      </c>
      <c r="H90" s="80">
        <f>G90*1.05</f>
        <v>31500000</v>
      </c>
      <c r="I90" s="80">
        <f t="shared" ref="I90:I153" si="30">H90*1.05</f>
        <v>33075000</v>
      </c>
    </row>
    <row r="91" ht="13.5" customHeight="1" spans="1:9">
      <c r="A91" s="147"/>
      <c r="B91" s="148"/>
      <c r="C91" s="149"/>
      <c r="D91" s="92"/>
      <c r="F91" s="93"/>
      <c r="G91" s="114"/>
      <c r="H91" s="80"/>
      <c r="I91" s="80">
        <f t="shared" si="30"/>
        <v>0</v>
      </c>
    </row>
    <row r="92" spans="1:9">
      <c r="A92" s="97" t="s">
        <v>162</v>
      </c>
      <c r="B92" s="98"/>
      <c r="C92" s="99"/>
      <c r="D92" s="100">
        <f>SUM(D74:D90)</f>
        <v>1184941894</v>
      </c>
      <c r="E92" s="101">
        <f>SUM(E74:E90)</f>
        <v>84100000</v>
      </c>
      <c r="F92" s="102">
        <f>SUM(F74:F90)</f>
        <v>1269041894</v>
      </c>
      <c r="G92" s="100">
        <f>SUM(G74:G91)</f>
        <v>1427408897</v>
      </c>
      <c r="H92" s="100">
        <f>SUM(H74:H91)</f>
        <v>1492952085.7</v>
      </c>
      <c r="I92" s="100">
        <f>SUM(I74:I91)</f>
        <v>1682866431.135</v>
      </c>
    </row>
    <row r="93" spans="1:9">
      <c r="A93" s="79"/>
      <c r="B93" s="79"/>
      <c r="C93" s="79"/>
      <c r="D93" s="79"/>
      <c r="F93" s="80"/>
      <c r="G93" s="71"/>
      <c r="H93" s="80"/>
      <c r="I93" s="80"/>
    </row>
    <row r="94" spans="1:9">
      <c r="A94" s="83"/>
      <c r="B94" s="84" t="s">
        <v>617</v>
      </c>
      <c r="C94" s="85"/>
      <c r="D94" s="85"/>
      <c r="F94" s="86"/>
      <c r="G94" s="118"/>
      <c r="H94" s="86"/>
      <c r="I94" s="86"/>
    </row>
    <row r="95" ht="34.8" spans="1:9">
      <c r="A95" s="123" t="s">
        <v>281</v>
      </c>
      <c r="B95" s="135" t="s">
        <v>618</v>
      </c>
      <c r="C95" s="119" t="s">
        <v>619</v>
      </c>
      <c r="D95" s="92"/>
      <c r="F95" s="93">
        <f t="shared" ref="F95:F109" si="31">D95+E95</f>
        <v>0</v>
      </c>
      <c r="G95" s="71">
        <v>5000000</v>
      </c>
      <c r="H95" s="80">
        <f t="shared" ref="H95:H109" si="32">G95*1.05</f>
        <v>5250000</v>
      </c>
      <c r="I95" s="80">
        <f t="shared" si="30"/>
        <v>5512500</v>
      </c>
    </row>
    <row r="96" spans="1:9">
      <c r="A96" s="125"/>
      <c r="B96" s="135"/>
      <c r="C96" s="119" t="s">
        <v>620</v>
      </c>
      <c r="D96" s="92">
        <f>16000000</f>
        <v>16000000</v>
      </c>
      <c r="F96" s="93">
        <f t="shared" si="31"/>
        <v>16000000</v>
      </c>
      <c r="G96" s="71">
        <v>20000000</v>
      </c>
      <c r="H96" s="80">
        <f t="shared" si="32"/>
        <v>21000000</v>
      </c>
      <c r="I96" s="80">
        <f t="shared" si="30"/>
        <v>22050000</v>
      </c>
    </row>
    <row r="97" spans="1:9">
      <c r="A97" s="125"/>
      <c r="B97" s="135"/>
      <c r="C97" s="119" t="s">
        <v>621</v>
      </c>
      <c r="D97" s="92">
        <f>10000000</f>
        <v>10000000</v>
      </c>
      <c r="E97" s="44">
        <v>0</v>
      </c>
      <c r="F97" s="93">
        <f t="shared" si="31"/>
        <v>10000000</v>
      </c>
      <c r="G97" s="71">
        <v>5000000</v>
      </c>
      <c r="H97" s="80">
        <f t="shared" si="32"/>
        <v>5250000</v>
      </c>
      <c r="I97" s="80">
        <f t="shared" si="30"/>
        <v>5512500</v>
      </c>
    </row>
    <row r="98" spans="1:9">
      <c r="A98" s="125"/>
      <c r="B98" s="135"/>
      <c r="C98" s="119" t="s">
        <v>622</v>
      </c>
      <c r="D98" s="92"/>
      <c r="E98" s="44">
        <v>18000000</v>
      </c>
      <c r="F98" s="93">
        <f t="shared" si="31"/>
        <v>18000000</v>
      </c>
      <c r="G98" s="71">
        <v>5000000</v>
      </c>
      <c r="H98" s="80">
        <f t="shared" si="32"/>
        <v>5250000</v>
      </c>
      <c r="I98" s="80">
        <f t="shared" si="30"/>
        <v>5512500</v>
      </c>
    </row>
    <row r="99" spans="1:9">
      <c r="A99" s="127"/>
      <c r="B99" s="135"/>
      <c r="C99" s="119" t="s">
        <v>623</v>
      </c>
      <c r="D99" s="92">
        <f>5300000</f>
        <v>5300000</v>
      </c>
      <c r="F99" s="93">
        <f t="shared" si="31"/>
        <v>5300000</v>
      </c>
      <c r="G99" s="71">
        <v>0</v>
      </c>
      <c r="H99" s="80">
        <f t="shared" si="32"/>
        <v>0</v>
      </c>
      <c r="I99" s="80">
        <f t="shared" si="30"/>
        <v>0</v>
      </c>
    </row>
    <row r="100" ht="24" customHeight="1" spans="1:9">
      <c r="A100" s="123" t="s">
        <v>291</v>
      </c>
      <c r="B100" s="135"/>
      <c r="C100" s="119" t="s">
        <v>624</v>
      </c>
      <c r="D100" s="92">
        <f>133000000</f>
        <v>133000000</v>
      </c>
      <c r="E100" s="44">
        <v>-130000000</v>
      </c>
      <c r="F100" s="93">
        <f t="shared" si="31"/>
        <v>3000000</v>
      </c>
      <c r="G100" s="71">
        <v>100000000</v>
      </c>
      <c r="H100" s="80">
        <f t="shared" si="32"/>
        <v>105000000</v>
      </c>
      <c r="I100" s="80">
        <f t="shared" si="30"/>
        <v>110250000</v>
      </c>
    </row>
    <row r="101" spans="1:9">
      <c r="A101" s="125"/>
      <c r="B101" s="135"/>
      <c r="C101" s="119" t="s">
        <v>625</v>
      </c>
      <c r="D101" s="92">
        <f>100000000</f>
        <v>100000000</v>
      </c>
      <c r="F101" s="93">
        <f t="shared" si="31"/>
        <v>100000000</v>
      </c>
      <c r="G101" s="71">
        <v>0</v>
      </c>
      <c r="H101" s="80">
        <f t="shared" si="32"/>
        <v>0</v>
      </c>
      <c r="I101" s="80">
        <f t="shared" si="30"/>
        <v>0</v>
      </c>
    </row>
    <row r="102" spans="1:9">
      <c r="A102" s="127"/>
      <c r="B102" s="135"/>
      <c r="C102" s="119" t="s">
        <v>626</v>
      </c>
      <c r="D102" s="92"/>
      <c r="F102" s="93">
        <f t="shared" si="31"/>
        <v>0</v>
      </c>
      <c r="G102" s="71">
        <v>5000000</v>
      </c>
      <c r="H102" s="80">
        <f t="shared" si="32"/>
        <v>5250000</v>
      </c>
      <c r="I102" s="80">
        <f t="shared" si="30"/>
        <v>5512500</v>
      </c>
    </row>
    <row r="103" spans="1:9">
      <c r="A103" s="123" t="s">
        <v>275</v>
      </c>
      <c r="B103" s="90" t="s">
        <v>627</v>
      </c>
      <c r="C103" s="119" t="s">
        <v>628</v>
      </c>
      <c r="D103" s="92"/>
      <c r="F103" s="93">
        <f t="shared" si="31"/>
        <v>0</v>
      </c>
      <c r="G103" s="71">
        <f>1000000</f>
        <v>1000000</v>
      </c>
      <c r="H103" s="80">
        <f t="shared" si="32"/>
        <v>1050000</v>
      </c>
      <c r="I103" s="80">
        <f t="shared" si="30"/>
        <v>1102500</v>
      </c>
    </row>
    <row r="104" ht="0.75" customHeight="1" spans="1:9">
      <c r="A104" s="127"/>
      <c r="B104" s="90"/>
      <c r="C104" s="121" t="s">
        <v>629</v>
      </c>
      <c r="D104" s="92"/>
      <c r="F104" s="93">
        <f t="shared" si="31"/>
        <v>0</v>
      </c>
      <c r="G104" s="71">
        <f t="shared" ref="G104:G138" si="33">F104*1.05</f>
        <v>0</v>
      </c>
      <c r="H104" s="80">
        <f t="shared" si="32"/>
        <v>0</v>
      </c>
      <c r="I104" s="80">
        <f t="shared" si="30"/>
        <v>0</v>
      </c>
    </row>
    <row r="105" spans="1:9">
      <c r="A105" s="123" t="s">
        <v>295</v>
      </c>
      <c r="B105" s="90" t="s">
        <v>630</v>
      </c>
      <c r="C105" s="119" t="s">
        <v>631</v>
      </c>
      <c r="D105" s="92">
        <f>5000000</f>
        <v>5000000</v>
      </c>
      <c r="F105" s="93">
        <f t="shared" si="31"/>
        <v>5000000</v>
      </c>
      <c r="G105" s="71">
        <v>10000000</v>
      </c>
      <c r="H105" s="80">
        <f t="shared" si="32"/>
        <v>10500000</v>
      </c>
      <c r="I105" s="80">
        <f t="shared" si="30"/>
        <v>11025000</v>
      </c>
    </row>
    <row r="106" ht="2.25" hidden="1" customHeight="1" spans="1:9">
      <c r="A106" s="125"/>
      <c r="B106" s="90"/>
      <c r="C106" s="119" t="s">
        <v>632</v>
      </c>
      <c r="D106" s="92">
        <f>3000000</f>
        <v>3000000</v>
      </c>
      <c r="F106" s="93">
        <f t="shared" si="31"/>
        <v>3000000</v>
      </c>
      <c r="G106" s="71">
        <v>0</v>
      </c>
      <c r="H106" s="80">
        <f t="shared" si="32"/>
        <v>0</v>
      </c>
      <c r="I106" s="80">
        <f t="shared" si="30"/>
        <v>0</v>
      </c>
    </row>
    <row r="107" spans="1:9">
      <c r="A107" s="125"/>
      <c r="B107" s="90"/>
      <c r="C107" s="119" t="s">
        <v>633</v>
      </c>
      <c r="D107" s="92">
        <f>25000000</f>
        <v>25000000</v>
      </c>
      <c r="F107" s="93">
        <f t="shared" si="31"/>
        <v>25000000</v>
      </c>
      <c r="G107" s="71">
        <v>10000000</v>
      </c>
      <c r="H107" s="80">
        <f t="shared" si="32"/>
        <v>10500000</v>
      </c>
      <c r="I107" s="80">
        <f t="shared" si="30"/>
        <v>11025000</v>
      </c>
    </row>
    <row r="108" spans="1:9">
      <c r="A108" s="125"/>
      <c r="B108" s="90"/>
      <c r="C108" s="119" t="s">
        <v>634</v>
      </c>
      <c r="D108" s="92"/>
      <c r="F108" s="93">
        <f t="shared" si="31"/>
        <v>0</v>
      </c>
      <c r="G108" s="71">
        <v>20000000</v>
      </c>
      <c r="H108" s="80">
        <f t="shared" si="32"/>
        <v>21000000</v>
      </c>
      <c r="I108" s="80">
        <f t="shared" si="30"/>
        <v>22050000</v>
      </c>
    </row>
    <row r="109" spans="1:9">
      <c r="A109" s="127"/>
      <c r="B109" s="90"/>
      <c r="C109" s="121" t="s">
        <v>635</v>
      </c>
      <c r="D109" s="92">
        <v>0</v>
      </c>
      <c r="F109" s="93">
        <f t="shared" si="31"/>
        <v>0</v>
      </c>
      <c r="G109" s="71">
        <v>2000000</v>
      </c>
      <c r="H109" s="80">
        <f t="shared" si="32"/>
        <v>2100000</v>
      </c>
      <c r="I109" s="80">
        <f t="shared" si="30"/>
        <v>2205000</v>
      </c>
    </row>
    <row r="110" s="44" customFormat="1" spans="1:9">
      <c r="A110" s="97" t="s">
        <v>162</v>
      </c>
      <c r="B110" s="98"/>
      <c r="C110" s="99"/>
      <c r="D110" s="100">
        <f t="shared" ref="D110:G110" si="34">SUM(D95:D109)</f>
        <v>297300000</v>
      </c>
      <c r="E110" s="101">
        <f t="shared" si="34"/>
        <v>-112000000</v>
      </c>
      <c r="F110" s="102">
        <f t="shared" si="34"/>
        <v>185300000</v>
      </c>
      <c r="G110" s="100">
        <f t="shared" si="34"/>
        <v>183000000</v>
      </c>
      <c r="H110" s="100">
        <f t="shared" ref="H110:I110" si="35">SUM(H95:H109)</f>
        <v>192150000</v>
      </c>
      <c r="I110" s="100">
        <f t="shared" si="35"/>
        <v>201757500</v>
      </c>
    </row>
    <row r="111" spans="1:9">
      <c r="A111" s="79"/>
      <c r="B111" s="79"/>
      <c r="C111" s="79"/>
      <c r="D111" s="79"/>
      <c r="F111" s="80"/>
      <c r="G111" s="71"/>
      <c r="H111" s="80"/>
      <c r="I111" s="80"/>
    </row>
    <row r="112" s="44" customFormat="1" spans="1:9">
      <c r="A112" s="83"/>
      <c r="B112" s="84" t="s">
        <v>636</v>
      </c>
      <c r="C112" s="85"/>
      <c r="D112" s="85"/>
      <c r="F112" s="86"/>
      <c r="G112" s="118"/>
      <c r="H112" s="86"/>
      <c r="I112" s="86"/>
    </row>
    <row r="113" s="44" customFormat="1" spans="1:9">
      <c r="A113" s="123" t="s">
        <v>637</v>
      </c>
      <c r="B113" s="150" t="s">
        <v>638</v>
      </c>
      <c r="C113" s="119" t="s">
        <v>639</v>
      </c>
      <c r="D113" s="92"/>
      <c r="F113" s="93">
        <f t="shared" ref="F113:F119" si="36">D113+E113</f>
        <v>0</v>
      </c>
      <c r="G113" s="71">
        <f t="shared" si="33"/>
        <v>0</v>
      </c>
      <c r="H113" s="80">
        <f t="shared" ref="H113:H119" si="37">G113*1.05</f>
        <v>0</v>
      </c>
      <c r="I113" s="80">
        <f t="shared" si="30"/>
        <v>0</v>
      </c>
    </row>
    <row r="114" s="44" customFormat="1" spans="1:9">
      <c r="A114" s="125"/>
      <c r="B114" s="150"/>
      <c r="C114" s="119" t="s">
        <v>640</v>
      </c>
      <c r="D114" s="92">
        <f>5000000</f>
        <v>5000000</v>
      </c>
      <c r="E114" s="44">
        <v>0</v>
      </c>
      <c r="F114" s="93">
        <f t="shared" si="36"/>
        <v>5000000</v>
      </c>
      <c r="G114" s="71">
        <v>6000000</v>
      </c>
      <c r="H114" s="80">
        <f t="shared" si="37"/>
        <v>6300000</v>
      </c>
      <c r="I114" s="80">
        <f t="shared" si="30"/>
        <v>6615000</v>
      </c>
    </row>
    <row r="115" s="44" customFormat="1" spans="1:9">
      <c r="A115" s="125"/>
      <c r="B115" s="150"/>
      <c r="C115" s="119" t="s">
        <v>641</v>
      </c>
      <c r="D115" s="92">
        <f>7000000</f>
        <v>7000000</v>
      </c>
      <c r="E115" s="44">
        <v>1000000</v>
      </c>
      <c r="F115" s="93">
        <f t="shared" si="36"/>
        <v>8000000</v>
      </c>
      <c r="G115" s="71">
        <v>5000000</v>
      </c>
      <c r="H115" s="80">
        <f t="shared" si="37"/>
        <v>5250000</v>
      </c>
      <c r="I115" s="80">
        <f t="shared" si="30"/>
        <v>5512500</v>
      </c>
    </row>
    <row r="116" s="44" customFormat="1" spans="1:9">
      <c r="A116" s="127"/>
      <c r="B116" s="150"/>
      <c r="C116" s="119" t="s">
        <v>642</v>
      </c>
      <c r="D116" s="92"/>
      <c r="E116" s="44">
        <v>0</v>
      </c>
      <c r="F116" s="93">
        <f t="shared" si="36"/>
        <v>0</v>
      </c>
      <c r="G116" s="71">
        <f t="shared" si="33"/>
        <v>0</v>
      </c>
      <c r="H116" s="80">
        <f t="shared" si="37"/>
        <v>0</v>
      </c>
      <c r="I116" s="80">
        <f t="shared" si="30"/>
        <v>0</v>
      </c>
    </row>
    <row r="117" s="44" customFormat="1" ht="36" spans="1:9">
      <c r="A117" s="123" t="s">
        <v>324</v>
      </c>
      <c r="B117" s="150" t="s">
        <v>643</v>
      </c>
      <c r="C117" s="121" t="s">
        <v>644</v>
      </c>
      <c r="D117" s="92"/>
      <c r="F117" s="93">
        <f t="shared" si="36"/>
        <v>0</v>
      </c>
      <c r="G117" s="71">
        <v>6500000</v>
      </c>
      <c r="H117" s="80">
        <f t="shared" si="37"/>
        <v>6825000</v>
      </c>
      <c r="I117" s="80">
        <f t="shared" si="30"/>
        <v>7166250</v>
      </c>
    </row>
    <row r="118" s="44" customFormat="1" spans="1:9">
      <c r="A118" s="125"/>
      <c r="B118" s="150"/>
      <c r="C118" s="121" t="s">
        <v>645</v>
      </c>
      <c r="D118" s="92">
        <f>3000000</f>
        <v>3000000</v>
      </c>
      <c r="F118" s="93">
        <f t="shared" si="36"/>
        <v>3000000</v>
      </c>
      <c r="G118" s="71">
        <v>3000000</v>
      </c>
      <c r="H118" s="80">
        <f t="shared" si="37"/>
        <v>3150000</v>
      </c>
      <c r="I118" s="80">
        <f t="shared" si="30"/>
        <v>3307500</v>
      </c>
    </row>
    <row r="119" s="44" customFormat="1" spans="1:9">
      <c r="A119" s="127"/>
      <c r="B119" s="150"/>
      <c r="C119" s="121" t="s">
        <v>646</v>
      </c>
      <c r="D119" s="92">
        <f>16985790</f>
        <v>16985790</v>
      </c>
      <c r="F119" s="93">
        <f t="shared" si="36"/>
        <v>16985790</v>
      </c>
      <c r="G119" s="71">
        <v>16000000</v>
      </c>
      <c r="H119" s="80">
        <f t="shared" si="37"/>
        <v>16800000</v>
      </c>
      <c r="I119" s="80">
        <f t="shared" si="30"/>
        <v>17640000</v>
      </c>
    </row>
    <row r="120" s="44" customFormat="1" spans="1:9">
      <c r="A120" s="97" t="s">
        <v>162</v>
      </c>
      <c r="B120" s="98"/>
      <c r="C120" s="99"/>
      <c r="D120" s="100">
        <f t="shared" ref="D120:I120" si="38">SUM(D113:D119)</f>
        <v>31985790</v>
      </c>
      <c r="E120" s="101">
        <f t="shared" si="38"/>
        <v>1000000</v>
      </c>
      <c r="F120" s="102">
        <f t="shared" si="38"/>
        <v>32985790</v>
      </c>
      <c r="G120" s="100">
        <f t="shared" si="38"/>
        <v>36500000</v>
      </c>
      <c r="H120" s="100">
        <f t="shared" si="38"/>
        <v>38325000</v>
      </c>
      <c r="I120" s="100">
        <f t="shared" si="38"/>
        <v>40241250</v>
      </c>
    </row>
    <row r="121" spans="1:9">
      <c r="A121" s="79"/>
      <c r="B121" s="79"/>
      <c r="C121" s="79"/>
      <c r="D121" s="79"/>
      <c r="F121" s="80"/>
      <c r="G121" s="71"/>
      <c r="H121" s="80"/>
      <c r="I121" s="80"/>
    </row>
    <row r="122" s="44" customFormat="1" spans="1:9">
      <c r="A122" s="83"/>
      <c r="B122" s="84" t="s">
        <v>647</v>
      </c>
      <c r="C122" s="85"/>
      <c r="D122" s="85"/>
      <c r="F122" s="86"/>
      <c r="G122" s="118"/>
      <c r="H122" s="86"/>
      <c r="I122" s="86"/>
    </row>
    <row r="123" s="44" customFormat="1" spans="1:9">
      <c r="A123" s="123" t="s">
        <v>648</v>
      </c>
      <c r="B123" s="90" t="s">
        <v>353</v>
      </c>
      <c r="C123" s="119" t="s">
        <v>649</v>
      </c>
      <c r="D123" s="92">
        <v>20000000</v>
      </c>
      <c r="E123" s="44">
        <v>-18000000</v>
      </c>
      <c r="F123" s="93">
        <f t="shared" ref="F123:F147" si="39">D123+E123</f>
        <v>2000000</v>
      </c>
      <c r="G123" s="71">
        <v>0</v>
      </c>
      <c r="H123" s="80">
        <f t="shared" ref="H123:H128" si="40">G123*1.05</f>
        <v>0</v>
      </c>
      <c r="I123" s="80">
        <f t="shared" si="30"/>
        <v>0</v>
      </c>
    </row>
    <row r="124" s="44" customFormat="1" spans="1:9">
      <c r="A124" s="125"/>
      <c r="B124" s="90"/>
      <c r="C124" s="119" t="s">
        <v>650</v>
      </c>
      <c r="D124" s="92"/>
      <c r="F124" s="93">
        <f t="shared" si="39"/>
        <v>0</v>
      </c>
      <c r="G124" s="71">
        <v>20000000</v>
      </c>
      <c r="H124" s="80">
        <f t="shared" si="40"/>
        <v>21000000</v>
      </c>
      <c r="I124" s="80">
        <f t="shared" si="30"/>
        <v>22050000</v>
      </c>
    </row>
    <row r="125" s="44" customFormat="1" spans="1:9">
      <c r="A125" s="125"/>
      <c r="B125" s="90"/>
      <c r="C125" s="119" t="s">
        <v>651</v>
      </c>
      <c r="D125" s="92">
        <f>60000000</f>
        <v>60000000</v>
      </c>
      <c r="E125" s="44">
        <v>26000000</v>
      </c>
      <c r="F125" s="93">
        <f t="shared" si="39"/>
        <v>86000000</v>
      </c>
      <c r="G125" s="71">
        <v>90000000</v>
      </c>
      <c r="H125" s="80">
        <f t="shared" si="40"/>
        <v>94500000</v>
      </c>
      <c r="I125" s="80">
        <f t="shared" si="30"/>
        <v>99225000</v>
      </c>
    </row>
    <row r="126" s="44" customFormat="1" spans="1:9">
      <c r="A126" s="127"/>
      <c r="B126" s="90"/>
      <c r="C126" s="119" t="s">
        <v>652</v>
      </c>
      <c r="D126" s="151"/>
      <c r="F126" s="93">
        <f t="shared" si="39"/>
        <v>0</v>
      </c>
      <c r="G126" s="71">
        <f t="shared" si="33"/>
        <v>0</v>
      </c>
      <c r="H126" s="80">
        <f t="shared" si="40"/>
        <v>0</v>
      </c>
      <c r="I126" s="80">
        <f t="shared" si="30"/>
        <v>0</v>
      </c>
    </row>
    <row r="127" s="44" customFormat="1" ht="17.25" customHeight="1" spans="1:9">
      <c r="A127" s="123" t="s">
        <v>653</v>
      </c>
      <c r="B127" s="90" t="s">
        <v>654</v>
      </c>
      <c r="C127" s="119" t="s">
        <v>655</v>
      </c>
      <c r="D127" s="151">
        <f>40000000</f>
        <v>40000000</v>
      </c>
      <c r="E127" s="44">
        <v>-10000000</v>
      </c>
      <c r="F127" s="93">
        <f t="shared" si="39"/>
        <v>30000000</v>
      </c>
      <c r="G127" s="71">
        <v>15000000</v>
      </c>
      <c r="H127" s="80">
        <f t="shared" si="40"/>
        <v>15750000</v>
      </c>
      <c r="I127" s="80">
        <f t="shared" si="30"/>
        <v>16537500</v>
      </c>
    </row>
    <row r="128" s="44" customFormat="1" ht="0.75" hidden="1" customHeight="1" spans="1:9">
      <c r="A128" s="125"/>
      <c r="B128" s="90"/>
      <c r="C128" s="119" t="s">
        <v>656</v>
      </c>
      <c r="D128" s="92">
        <f>5000000</f>
        <v>5000000</v>
      </c>
      <c r="E128" s="44">
        <v>-5000000</v>
      </c>
      <c r="F128" s="93">
        <f t="shared" si="39"/>
        <v>0</v>
      </c>
      <c r="G128" s="71">
        <f t="shared" si="33"/>
        <v>0</v>
      </c>
      <c r="H128" s="80">
        <f t="shared" si="40"/>
        <v>0</v>
      </c>
      <c r="I128" s="80">
        <f t="shared" si="30"/>
        <v>0</v>
      </c>
    </row>
    <row r="129" s="44" customFormat="1" hidden="1" spans="1:9">
      <c r="A129" s="125"/>
      <c r="B129" s="90"/>
      <c r="C129" s="119" t="s">
        <v>657</v>
      </c>
      <c r="D129" s="92"/>
      <c r="F129" s="93"/>
      <c r="G129" s="71"/>
      <c r="H129" s="80"/>
      <c r="I129" s="80">
        <f t="shared" si="30"/>
        <v>0</v>
      </c>
    </row>
    <row r="130" s="44" customFormat="1" hidden="1" spans="1:9">
      <c r="A130" s="125"/>
      <c r="B130" s="90"/>
      <c r="C130" s="119" t="s">
        <v>658</v>
      </c>
      <c r="D130" s="92">
        <f>5000000</f>
        <v>5000000</v>
      </c>
      <c r="E130" s="44">
        <v>-5000000</v>
      </c>
      <c r="F130" s="93">
        <f t="shared" si="39"/>
        <v>0</v>
      </c>
      <c r="G130" s="71">
        <f t="shared" si="33"/>
        <v>0</v>
      </c>
      <c r="H130" s="80">
        <f t="shared" ref="H130:H138" si="41">G130*1.05</f>
        <v>0</v>
      </c>
      <c r="I130" s="80">
        <f t="shared" si="30"/>
        <v>0</v>
      </c>
    </row>
    <row r="131" s="44" customFormat="1" spans="1:9">
      <c r="A131" s="125"/>
      <c r="B131" s="90"/>
      <c r="C131" s="119" t="s">
        <v>659</v>
      </c>
      <c r="D131" s="92">
        <f>5000000</f>
        <v>5000000</v>
      </c>
      <c r="E131" s="44">
        <v>-5000000</v>
      </c>
      <c r="F131" s="93">
        <f t="shared" si="39"/>
        <v>0</v>
      </c>
      <c r="G131" s="71">
        <v>120000000</v>
      </c>
      <c r="H131" s="80"/>
      <c r="I131" s="80">
        <f t="shared" si="30"/>
        <v>0</v>
      </c>
    </row>
    <row r="132" s="44" customFormat="1" spans="1:9">
      <c r="A132" s="125"/>
      <c r="B132" s="90"/>
      <c r="C132" s="119" t="s">
        <v>660</v>
      </c>
      <c r="D132" s="92">
        <f>5000000</f>
        <v>5000000</v>
      </c>
      <c r="F132" s="93">
        <f t="shared" si="39"/>
        <v>5000000</v>
      </c>
      <c r="G132" s="71">
        <v>6000000</v>
      </c>
      <c r="H132" s="80">
        <f t="shared" si="41"/>
        <v>6300000</v>
      </c>
      <c r="I132" s="80">
        <f t="shared" si="30"/>
        <v>6615000</v>
      </c>
    </row>
    <row r="133" s="44" customFormat="1" spans="1:9">
      <c r="A133" s="125"/>
      <c r="B133" s="90"/>
      <c r="C133" s="119" t="s">
        <v>661</v>
      </c>
      <c r="D133" s="92">
        <f>5000000</f>
        <v>5000000</v>
      </c>
      <c r="E133" s="44">
        <v>0</v>
      </c>
      <c r="F133" s="93">
        <f t="shared" si="39"/>
        <v>5000000</v>
      </c>
      <c r="G133" s="71">
        <v>5000000</v>
      </c>
      <c r="H133" s="80">
        <f t="shared" si="41"/>
        <v>5250000</v>
      </c>
      <c r="I133" s="80">
        <f t="shared" si="30"/>
        <v>5512500</v>
      </c>
    </row>
    <row r="134" s="44" customFormat="1" spans="1:9">
      <c r="A134" s="125"/>
      <c r="B134" s="90" t="s">
        <v>662</v>
      </c>
      <c r="C134" s="119" t="s">
        <v>663</v>
      </c>
      <c r="D134" s="92">
        <f>20000000</f>
        <v>20000000</v>
      </c>
      <c r="F134" s="93">
        <f t="shared" si="39"/>
        <v>20000000</v>
      </c>
      <c r="G134" s="71">
        <v>20000000</v>
      </c>
      <c r="H134" s="80">
        <f t="shared" si="41"/>
        <v>21000000</v>
      </c>
      <c r="I134" s="80">
        <f t="shared" si="30"/>
        <v>22050000</v>
      </c>
    </row>
    <row r="135" s="44" customFormat="1" spans="1:9">
      <c r="A135" s="125"/>
      <c r="B135" s="90"/>
      <c r="C135" s="119" t="s">
        <v>664</v>
      </c>
      <c r="D135" s="92"/>
      <c r="F135" s="93">
        <f t="shared" si="39"/>
        <v>0</v>
      </c>
      <c r="G135" s="71">
        <f t="shared" si="33"/>
        <v>0</v>
      </c>
      <c r="H135" s="80">
        <f t="shared" si="41"/>
        <v>0</v>
      </c>
      <c r="I135" s="80">
        <f t="shared" si="30"/>
        <v>0</v>
      </c>
    </row>
    <row r="136" s="44" customFormat="1" spans="1:9">
      <c r="A136" s="125"/>
      <c r="B136" s="90"/>
      <c r="C136" s="119" t="s">
        <v>665</v>
      </c>
      <c r="D136" s="92">
        <f>20184200</f>
        <v>20184200</v>
      </c>
      <c r="F136" s="93">
        <f t="shared" si="39"/>
        <v>20184200</v>
      </c>
      <c r="G136" s="71">
        <v>20184200</v>
      </c>
      <c r="H136" s="80">
        <f t="shared" si="41"/>
        <v>21193410</v>
      </c>
      <c r="I136" s="80">
        <f t="shared" si="30"/>
        <v>22253080.5</v>
      </c>
    </row>
    <row r="137" s="44" customFormat="1" spans="1:9">
      <c r="A137" s="125"/>
      <c r="B137" s="90" t="s">
        <v>666</v>
      </c>
      <c r="C137" s="119" t="s">
        <v>667</v>
      </c>
      <c r="D137" s="92"/>
      <c r="F137" s="93">
        <f t="shared" si="39"/>
        <v>0</v>
      </c>
      <c r="G137" s="71">
        <f t="shared" si="33"/>
        <v>0</v>
      </c>
      <c r="H137" s="80">
        <f t="shared" si="41"/>
        <v>0</v>
      </c>
      <c r="I137" s="80">
        <f t="shared" si="30"/>
        <v>0</v>
      </c>
    </row>
    <row r="138" s="44" customFormat="1" spans="1:9">
      <c r="A138" s="127"/>
      <c r="B138" s="90"/>
      <c r="C138" s="152"/>
      <c r="D138" s="92"/>
      <c r="F138" s="93">
        <f t="shared" si="39"/>
        <v>0</v>
      </c>
      <c r="G138" s="71">
        <f t="shared" si="33"/>
        <v>0</v>
      </c>
      <c r="H138" s="80">
        <f t="shared" si="41"/>
        <v>0</v>
      </c>
      <c r="I138" s="80">
        <f t="shared" si="30"/>
        <v>0</v>
      </c>
    </row>
    <row r="139" s="44" customFormat="1" customHeight="1" spans="1:9">
      <c r="A139" s="123" t="s">
        <v>231</v>
      </c>
      <c r="B139" s="124" t="s">
        <v>668</v>
      </c>
      <c r="C139" s="96" t="s">
        <v>669</v>
      </c>
      <c r="D139" s="151"/>
      <c r="F139" s="93">
        <f t="shared" si="39"/>
        <v>0</v>
      </c>
      <c r="G139" s="71">
        <v>60000000</v>
      </c>
      <c r="H139" s="80">
        <v>142000000</v>
      </c>
      <c r="I139" s="80">
        <f t="shared" si="30"/>
        <v>149100000</v>
      </c>
    </row>
    <row r="140" s="44" customFormat="1" ht="16.5" hidden="1" customHeight="1" spans="1:9">
      <c r="A140" s="125"/>
      <c r="B140" s="126"/>
      <c r="C140" s="119" t="s">
        <v>670</v>
      </c>
      <c r="D140" s="92">
        <f>4000000</f>
        <v>4000000</v>
      </c>
      <c r="E140" s="44">
        <v>3380100</v>
      </c>
      <c r="F140" s="93">
        <f t="shared" si="39"/>
        <v>7380100</v>
      </c>
      <c r="G140" s="71"/>
      <c r="H140" s="80">
        <f t="shared" ref="H140:H156" si="42">G140*1.05</f>
        <v>0</v>
      </c>
      <c r="I140" s="80">
        <f t="shared" si="30"/>
        <v>0</v>
      </c>
    </row>
    <row r="141" s="44" customFormat="1" hidden="1" spans="1:9">
      <c r="A141" s="125"/>
      <c r="B141" s="126"/>
      <c r="C141" s="119" t="s">
        <v>671</v>
      </c>
      <c r="D141" s="92">
        <f>4000000</f>
        <v>4000000</v>
      </c>
      <c r="F141" s="93">
        <f t="shared" si="39"/>
        <v>4000000</v>
      </c>
      <c r="G141" s="71"/>
      <c r="H141" s="80">
        <f t="shared" si="42"/>
        <v>0</v>
      </c>
      <c r="I141" s="80">
        <f t="shared" si="30"/>
        <v>0</v>
      </c>
    </row>
    <row r="142" s="44" customFormat="1" hidden="1" spans="1:9">
      <c r="A142" s="125"/>
      <c r="B142" s="126"/>
      <c r="C142" s="119" t="s">
        <v>672</v>
      </c>
      <c r="D142" s="92"/>
      <c r="F142" s="93">
        <f t="shared" si="39"/>
        <v>0</v>
      </c>
      <c r="G142" s="71"/>
      <c r="H142" s="80">
        <f t="shared" si="42"/>
        <v>0</v>
      </c>
      <c r="I142" s="80">
        <f t="shared" si="30"/>
        <v>0</v>
      </c>
    </row>
    <row r="143" s="44" customFormat="1" ht="0.75" hidden="1" customHeight="1" spans="1:9">
      <c r="A143" s="125"/>
      <c r="B143" s="126"/>
      <c r="C143" s="143" t="s">
        <v>673</v>
      </c>
      <c r="D143" s="144">
        <v>17695131.84</v>
      </c>
      <c r="F143" s="93">
        <f t="shared" si="39"/>
        <v>17695131.84</v>
      </c>
      <c r="G143" s="71"/>
      <c r="H143" s="80">
        <f t="shared" si="42"/>
        <v>0</v>
      </c>
      <c r="I143" s="80">
        <f t="shared" si="30"/>
        <v>0</v>
      </c>
    </row>
    <row r="144" s="44" customFormat="1" ht="72" hidden="1" spans="1:9">
      <c r="A144" s="125"/>
      <c r="B144" s="126"/>
      <c r="C144" s="143" t="s">
        <v>674</v>
      </c>
      <c r="D144" s="144">
        <v>14598561.72</v>
      </c>
      <c r="F144" s="93">
        <f t="shared" si="39"/>
        <v>14598561.72</v>
      </c>
      <c r="G144" s="71"/>
      <c r="H144" s="80">
        <f t="shared" si="42"/>
        <v>0</v>
      </c>
      <c r="I144" s="80">
        <f t="shared" si="30"/>
        <v>0</v>
      </c>
    </row>
    <row r="145" s="44" customFormat="1" ht="4.5" hidden="1" customHeight="1" spans="1:9">
      <c r="A145" s="125"/>
      <c r="B145" s="126"/>
      <c r="C145" s="143" t="s">
        <v>675</v>
      </c>
      <c r="D145" s="153">
        <v>39991793.44</v>
      </c>
      <c r="E145" s="44">
        <v>-5500000</v>
      </c>
      <c r="F145" s="93">
        <f t="shared" si="39"/>
        <v>34491793.44</v>
      </c>
      <c r="G145" s="71"/>
      <c r="H145" s="80">
        <f t="shared" si="42"/>
        <v>0</v>
      </c>
      <c r="I145" s="80">
        <f t="shared" si="30"/>
        <v>0</v>
      </c>
    </row>
    <row r="146" s="44" customFormat="1" ht="18.75" customHeight="1" spans="1:9">
      <c r="A146" s="125"/>
      <c r="B146" s="126"/>
      <c r="C146" s="143" t="s">
        <v>676</v>
      </c>
      <c r="D146" s="144">
        <v>34917977</v>
      </c>
      <c r="F146" s="93">
        <f t="shared" si="39"/>
        <v>34917977</v>
      </c>
      <c r="G146" s="71">
        <v>10000000</v>
      </c>
      <c r="H146" s="80">
        <f t="shared" si="42"/>
        <v>10500000</v>
      </c>
      <c r="I146" s="80">
        <f t="shared" si="30"/>
        <v>11025000</v>
      </c>
    </row>
    <row r="147" s="44" customFormat="1" ht="34.5" customHeight="1" spans="1:9">
      <c r="A147" s="125"/>
      <c r="B147" s="126"/>
      <c r="C147" s="143" t="s">
        <v>677</v>
      </c>
      <c r="D147" s="144">
        <v>23716436.46</v>
      </c>
      <c r="E147" s="44">
        <v>5000000</v>
      </c>
      <c r="F147" s="93">
        <f t="shared" si="39"/>
        <v>28716436.46</v>
      </c>
      <c r="G147" s="71">
        <v>6800000</v>
      </c>
      <c r="H147" s="80">
        <f t="shared" si="42"/>
        <v>7140000</v>
      </c>
      <c r="I147" s="80">
        <f t="shared" si="30"/>
        <v>7497000</v>
      </c>
    </row>
    <row r="148" s="44" customFormat="1" hidden="1" spans="1:9">
      <c r="A148" s="125"/>
      <c r="B148" s="126"/>
      <c r="C148" s="143" t="s">
        <v>678</v>
      </c>
      <c r="D148" s="144">
        <v>76380100</v>
      </c>
      <c r="E148" s="44">
        <v>-76380100</v>
      </c>
      <c r="F148" s="93">
        <v>0</v>
      </c>
      <c r="G148" s="71"/>
      <c r="H148" s="154">
        <f t="shared" si="42"/>
        <v>0</v>
      </c>
      <c r="I148" s="80">
        <f t="shared" si="30"/>
        <v>0</v>
      </c>
    </row>
    <row r="149" s="44" customFormat="1" hidden="1" spans="1:9">
      <c r="A149" s="125"/>
      <c r="B149" s="126"/>
      <c r="C149" s="143" t="s">
        <v>679</v>
      </c>
      <c r="D149" s="144"/>
      <c r="E149" s="44">
        <v>10000000</v>
      </c>
      <c r="F149" s="93">
        <f t="shared" ref="F149:F159" si="43">D149+E149</f>
        <v>10000000</v>
      </c>
      <c r="G149" s="71"/>
      <c r="H149" s="154">
        <f t="shared" si="42"/>
        <v>0</v>
      </c>
      <c r="I149" s="80">
        <f t="shared" si="30"/>
        <v>0</v>
      </c>
    </row>
    <row r="150" s="44" customFormat="1" hidden="1" spans="1:9">
      <c r="A150" s="125"/>
      <c r="B150" s="126"/>
      <c r="C150" s="143" t="s">
        <v>680</v>
      </c>
      <c r="D150" s="144"/>
      <c r="E150" s="44">
        <f>4550000+60000</f>
        <v>4610000</v>
      </c>
      <c r="F150" s="93">
        <f t="shared" si="43"/>
        <v>4610000</v>
      </c>
      <c r="G150" s="71"/>
      <c r="H150" s="154">
        <f t="shared" si="42"/>
        <v>0</v>
      </c>
      <c r="I150" s="80">
        <f t="shared" si="30"/>
        <v>0</v>
      </c>
    </row>
    <row r="151" s="44" customFormat="1" hidden="1" spans="1:9">
      <c r="A151" s="125"/>
      <c r="B151" s="126"/>
      <c r="C151" s="143" t="s">
        <v>681</v>
      </c>
      <c r="D151" s="144"/>
      <c r="E151" s="44">
        <v>6800000</v>
      </c>
      <c r="F151" s="93">
        <f t="shared" si="43"/>
        <v>6800000</v>
      </c>
      <c r="G151" s="71"/>
      <c r="H151" s="154">
        <f t="shared" si="42"/>
        <v>0</v>
      </c>
      <c r="I151" s="80">
        <f t="shared" si="30"/>
        <v>0</v>
      </c>
    </row>
    <row r="152" s="44" customFormat="1" hidden="1" spans="1:9">
      <c r="A152" s="125"/>
      <c r="B152" s="126"/>
      <c r="C152" s="143" t="s">
        <v>682</v>
      </c>
      <c r="D152" s="144"/>
      <c r="E152" s="44">
        <v>6400000</v>
      </c>
      <c r="F152" s="93">
        <f t="shared" si="43"/>
        <v>6400000</v>
      </c>
      <c r="G152" s="71"/>
      <c r="H152" s="154">
        <f t="shared" si="42"/>
        <v>0</v>
      </c>
      <c r="I152" s="80">
        <f t="shared" si="30"/>
        <v>0</v>
      </c>
    </row>
    <row r="153" s="44" customFormat="1" hidden="1" spans="1:9">
      <c r="A153" s="125"/>
      <c r="B153" s="126"/>
      <c r="C153" s="143" t="s">
        <v>683</v>
      </c>
      <c r="D153" s="144"/>
      <c r="E153" s="44">
        <v>11000000</v>
      </c>
      <c r="F153" s="93">
        <f t="shared" si="43"/>
        <v>11000000</v>
      </c>
      <c r="G153" s="71"/>
      <c r="H153" s="154">
        <f t="shared" si="42"/>
        <v>0</v>
      </c>
      <c r="I153" s="80">
        <f t="shared" si="30"/>
        <v>0</v>
      </c>
    </row>
    <row r="154" s="44" customFormat="1" hidden="1" spans="1:9">
      <c r="A154" s="125"/>
      <c r="B154" s="126"/>
      <c r="C154" s="143" t="s">
        <v>684</v>
      </c>
      <c r="D154" s="144"/>
      <c r="E154" s="44">
        <v>2400000</v>
      </c>
      <c r="F154" s="93">
        <f t="shared" si="43"/>
        <v>2400000</v>
      </c>
      <c r="G154" s="71"/>
      <c r="H154" s="154">
        <f t="shared" si="42"/>
        <v>0</v>
      </c>
      <c r="I154" s="80">
        <f t="shared" ref="I154:I216" si="44">H154*1.05</f>
        <v>0</v>
      </c>
    </row>
    <row r="155" s="44" customFormat="1" hidden="1" spans="1:9">
      <c r="A155" s="125"/>
      <c r="B155" s="126"/>
      <c r="C155" s="143" t="s">
        <v>685</v>
      </c>
      <c r="D155" s="144">
        <v>10000000</v>
      </c>
      <c r="F155" s="93">
        <f t="shared" si="43"/>
        <v>10000000</v>
      </c>
      <c r="G155" s="71"/>
      <c r="H155" s="80">
        <f t="shared" si="42"/>
        <v>0</v>
      </c>
      <c r="I155" s="80">
        <f t="shared" si="44"/>
        <v>0</v>
      </c>
    </row>
    <row r="156" s="44" customFormat="1" hidden="1" spans="1:9">
      <c r="A156" s="125"/>
      <c r="B156" s="126"/>
      <c r="C156" s="143" t="s">
        <v>686</v>
      </c>
      <c r="D156" s="144">
        <v>3700000</v>
      </c>
      <c r="F156" s="93">
        <f t="shared" si="43"/>
        <v>3700000</v>
      </c>
      <c r="G156" s="71"/>
      <c r="H156" s="80">
        <f t="shared" si="42"/>
        <v>0</v>
      </c>
      <c r="I156" s="80">
        <f t="shared" si="44"/>
        <v>0</v>
      </c>
    </row>
    <row r="157" s="44" customFormat="1" spans="1:9">
      <c r="A157" s="125"/>
      <c r="B157" s="126"/>
      <c r="C157" s="143" t="s">
        <v>671</v>
      </c>
      <c r="D157" s="144"/>
      <c r="F157" s="93"/>
      <c r="G157" s="71">
        <v>10688327</v>
      </c>
      <c r="H157" s="80"/>
      <c r="I157" s="80">
        <f t="shared" si="44"/>
        <v>0</v>
      </c>
    </row>
    <row r="158" s="44" customFormat="1" spans="1:9">
      <c r="A158" s="125"/>
      <c r="B158" s="126"/>
      <c r="C158" s="143" t="s">
        <v>687</v>
      </c>
      <c r="D158" s="144"/>
      <c r="F158" s="93"/>
      <c r="G158" s="71">
        <v>13000000</v>
      </c>
      <c r="H158" s="80"/>
      <c r="I158" s="80">
        <f t="shared" si="44"/>
        <v>0</v>
      </c>
    </row>
    <row r="159" s="44" customFormat="1" spans="1:9">
      <c r="A159" s="127"/>
      <c r="B159" s="128"/>
      <c r="C159" s="119" t="s">
        <v>688</v>
      </c>
      <c r="D159" s="92">
        <f>5000000</f>
        <v>5000000</v>
      </c>
      <c r="F159" s="93">
        <f t="shared" si="43"/>
        <v>5000000</v>
      </c>
      <c r="G159" s="71">
        <v>5000000</v>
      </c>
      <c r="H159" s="80">
        <f>G159*1.05</f>
        <v>5250000</v>
      </c>
      <c r="I159" s="80">
        <f t="shared" si="44"/>
        <v>5512500</v>
      </c>
    </row>
    <row r="160" s="44" customFormat="1" spans="1:9">
      <c r="A160" s="97" t="s">
        <v>162</v>
      </c>
      <c r="B160" s="98"/>
      <c r="C160" s="99"/>
      <c r="D160" s="100">
        <f t="shared" ref="D160:I160" si="45">SUM(D123:D159)</f>
        <v>419184200.46</v>
      </c>
      <c r="E160" s="101">
        <f t="shared" si="45"/>
        <v>-49290000</v>
      </c>
      <c r="F160" s="102">
        <f t="shared" si="45"/>
        <v>369894200.46</v>
      </c>
      <c r="G160" s="100">
        <f t="shared" si="45"/>
        <v>401672527</v>
      </c>
      <c r="H160" s="100">
        <f t="shared" si="45"/>
        <v>349883410</v>
      </c>
      <c r="I160" s="100">
        <f t="shared" si="45"/>
        <v>367377580.5</v>
      </c>
    </row>
    <row r="161" spans="1:9">
      <c r="A161" s="79"/>
      <c r="B161" s="79"/>
      <c r="C161" s="79"/>
      <c r="D161" s="79"/>
      <c r="F161" s="80"/>
      <c r="G161" s="71"/>
      <c r="H161" s="80"/>
      <c r="I161" s="80"/>
    </row>
    <row r="162" s="44" customFormat="1" spans="1:9">
      <c r="A162" s="83"/>
      <c r="B162" s="84" t="s">
        <v>689</v>
      </c>
      <c r="C162" s="85"/>
      <c r="D162" s="85"/>
      <c r="F162" s="86"/>
      <c r="G162" s="118"/>
      <c r="H162" s="86"/>
      <c r="I162" s="86"/>
    </row>
    <row r="163" s="44" customFormat="1" ht="24" customHeight="1" spans="1:9">
      <c r="A163" s="89" t="s">
        <v>375</v>
      </c>
      <c r="B163" s="90" t="s">
        <v>690</v>
      </c>
      <c r="C163" s="155" t="s">
        <v>691</v>
      </c>
      <c r="D163" s="92">
        <f>6100000</f>
        <v>6100000</v>
      </c>
      <c r="F163" s="93">
        <f t="shared" ref="F163:F169" si="46">D163+E163</f>
        <v>6100000</v>
      </c>
      <c r="G163" s="71">
        <f>10000000</f>
        <v>10000000</v>
      </c>
      <c r="H163" s="80">
        <f t="shared" ref="H163:H169" si="47">G163*1.05</f>
        <v>10500000</v>
      </c>
      <c r="I163" s="80">
        <f t="shared" si="44"/>
        <v>11025000</v>
      </c>
    </row>
    <row r="164" s="44" customFormat="1" ht="22.5" customHeight="1" spans="1:9">
      <c r="A164" s="94"/>
      <c r="B164" s="90"/>
      <c r="C164" s="119" t="s">
        <v>692</v>
      </c>
      <c r="D164" s="92">
        <f>4000000</f>
        <v>4000000</v>
      </c>
      <c r="E164" s="44">
        <v>0</v>
      </c>
      <c r="F164" s="93">
        <f t="shared" si="46"/>
        <v>4000000</v>
      </c>
      <c r="G164" s="71">
        <v>3000000</v>
      </c>
      <c r="H164" s="80">
        <f t="shared" si="47"/>
        <v>3150000</v>
      </c>
      <c r="I164" s="80">
        <f t="shared" si="44"/>
        <v>3307500</v>
      </c>
    </row>
    <row r="165" s="44" customFormat="1" spans="1:9">
      <c r="A165" s="94"/>
      <c r="B165" s="90"/>
      <c r="C165" s="119" t="s">
        <v>693</v>
      </c>
      <c r="D165" s="92">
        <f>7000000</f>
        <v>7000000</v>
      </c>
      <c r="F165" s="93">
        <f t="shared" si="46"/>
        <v>7000000</v>
      </c>
      <c r="G165" s="71">
        <v>0</v>
      </c>
      <c r="H165" s="80">
        <f t="shared" si="47"/>
        <v>0</v>
      </c>
      <c r="I165" s="80">
        <f t="shared" si="44"/>
        <v>0</v>
      </c>
    </row>
    <row r="166" s="44" customFormat="1" spans="1:9">
      <c r="A166" s="94"/>
      <c r="B166" s="156" t="s">
        <v>694</v>
      </c>
      <c r="C166" s="119" t="s">
        <v>695</v>
      </c>
      <c r="D166" s="92"/>
      <c r="F166" s="93">
        <f t="shared" si="46"/>
        <v>0</v>
      </c>
      <c r="G166" s="71">
        <f t="shared" ref="G166:G208" si="48">F166*1.05</f>
        <v>0</v>
      </c>
      <c r="H166" s="80">
        <f t="shared" si="47"/>
        <v>0</v>
      </c>
      <c r="I166" s="80">
        <f t="shared" si="44"/>
        <v>0</v>
      </c>
    </row>
    <row r="167" s="44" customFormat="1" spans="1:9">
      <c r="A167" s="95"/>
      <c r="B167" s="156" t="s">
        <v>696</v>
      </c>
      <c r="C167" s="119" t="s">
        <v>697</v>
      </c>
      <c r="D167" s="92">
        <f>3200000</f>
        <v>3200000</v>
      </c>
      <c r="F167" s="93">
        <f t="shared" si="46"/>
        <v>3200000</v>
      </c>
      <c r="G167" s="71"/>
      <c r="H167" s="80">
        <f t="shared" si="47"/>
        <v>0</v>
      </c>
      <c r="I167" s="80">
        <f t="shared" si="44"/>
        <v>0</v>
      </c>
    </row>
    <row r="168" s="44" customFormat="1" spans="1:9">
      <c r="A168" s="89" t="s">
        <v>231</v>
      </c>
      <c r="B168" s="124"/>
      <c r="C168" s="119" t="s">
        <v>698</v>
      </c>
      <c r="D168" s="92"/>
      <c r="F168" s="93">
        <f t="shared" si="46"/>
        <v>0</v>
      </c>
      <c r="G168" s="71">
        <f>4000000</f>
        <v>4000000</v>
      </c>
      <c r="H168" s="80">
        <f t="shared" si="47"/>
        <v>4200000</v>
      </c>
      <c r="I168" s="80">
        <f t="shared" si="44"/>
        <v>4410000</v>
      </c>
    </row>
    <row r="169" s="44" customFormat="1" spans="1:9">
      <c r="A169" s="95"/>
      <c r="B169" s="128"/>
      <c r="C169" s="119" t="s">
        <v>699</v>
      </c>
      <c r="D169" s="92"/>
      <c r="F169" s="93">
        <f t="shared" si="46"/>
        <v>0</v>
      </c>
      <c r="G169" s="71">
        <f t="shared" si="48"/>
        <v>0</v>
      </c>
      <c r="H169" s="80">
        <f t="shared" si="47"/>
        <v>0</v>
      </c>
      <c r="I169" s="80">
        <f t="shared" si="44"/>
        <v>0</v>
      </c>
    </row>
    <row r="170" s="44" customFormat="1" spans="1:9">
      <c r="A170" s="157"/>
      <c r="B170" s="120" t="s">
        <v>162</v>
      </c>
      <c r="C170" s="120"/>
      <c r="D170" s="100">
        <f t="shared" ref="D170:G170" si="49">SUM(D163:D169)</f>
        <v>20300000</v>
      </c>
      <c r="E170" s="101">
        <f t="shared" si="49"/>
        <v>0</v>
      </c>
      <c r="F170" s="102">
        <f t="shared" si="49"/>
        <v>20300000</v>
      </c>
      <c r="G170" s="100">
        <f t="shared" si="49"/>
        <v>17000000</v>
      </c>
      <c r="H170" s="100">
        <f t="shared" ref="H170:I170" si="50">SUM(H163:H169)</f>
        <v>17850000</v>
      </c>
      <c r="I170" s="100">
        <f t="shared" si="50"/>
        <v>18742500</v>
      </c>
    </row>
    <row r="171" spans="1:9">
      <c r="A171" s="79"/>
      <c r="B171" s="79"/>
      <c r="C171" s="79"/>
      <c r="D171" s="79"/>
      <c r="F171" s="80"/>
      <c r="G171" s="71"/>
      <c r="H171" s="80">
        <f t="shared" ref="H171:H184" si="51">G171*1.05</f>
        <v>0</v>
      </c>
      <c r="I171" s="80">
        <f t="shared" si="44"/>
        <v>0</v>
      </c>
    </row>
    <row r="172" s="44" customFormat="1" spans="1:9">
      <c r="A172" s="117"/>
      <c r="B172" s="84" t="s">
        <v>383</v>
      </c>
      <c r="C172" s="85"/>
      <c r="D172" s="85"/>
      <c r="F172" s="86"/>
      <c r="G172" s="118"/>
      <c r="H172" s="86">
        <f t="shared" si="51"/>
        <v>0</v>
      </c>
      <c r="I172" s="86">
        <f t="shared" si="44"/>
        <v>0</v>
      </c>
    </row>
    <row r="173" s="44" customFormat="1" spans="1:9">
      <c r="A173" s="82"/>
      <c r="B173" s="132"/>
      <c r="C173" s="82"/>
      <c r="D173" s="136"/>
      <c r="F173" s="80">
        <f t="shared" ref="F173:F186" si="52">D173+E173</f>
        <v>0</v>
      </c>
      <c r="G173" s="71">
        <f t="shared" si="48"/>
        <v>0</v>
      </c>
      <c r="H173" s="80">
        <f t="shared" si="51"/>
        <v>0</v>
      </c>
      <c r="I173" s="80">
        <f t="shared" si="44"/>
        <v>0</v>
      </c>
    </row>
    <row r="174" s="44" customFormat="1" spans="1:9">
      <c r="A174" s="97" t="s">
        <v>162</v>
      </c>
      <c r="B174" s="98"/>
      <c r="C174" s="99"/>
      <c r="D174" s="100">
        <f t="shared" ref="D174" si="53">D173</f>
        <v>0</v>
      </c>
      <c r="F174" s="158">
        <f t="shared" si="52"/>
        <v>0</v>
      </c>
      <c r="G174" s="159">
        <f t="shared" si="48"/>
        <v>0</v>
      </c>
      <c r="H174" s="158">
        <f t="shared" si="51"/>
        <v>0</v>
      </c>
      <c r="I174" s="158">
        <f t="shared" si="44"/>
        <v>0</v>
      </c>
    </row>
    <row r="175" spans="1:9">
      <c r="A175" s="79"/>
      <c r="B175" s="79"/>
      <c r="C175" s="79"/>
      <c r="D175" s="79"/>
      <c r="F175" s="80"/>
      <c r="G175" s="71"/>
      <c r="H175" s="80">
        <f t="shared" si="51"/>
        <v>0</v>
      </c>
      <c r="I175" s="80">
        <f t="shared" si="44"/>
        <v>0</v>
      </c>
    </row>
    <row r="176" s="44" customFormat="1" ht="20.25" customHeight="1" spans="1:9">
      <c r="A176" s="83"/>
      <c r="B176" s="84" t="s">
        <v>700</v>
      </c>
      <c r="C176" s="85"/>
      <c r="D176" s="85"/>
      <c r="F176" s="86"/>
      <c r="G176" s="118"/>
      <c r="H176" s="86"/>
      <c r="I176" s="86"/>
    </row>
    <row r="177" s="44" customFormat="1" ht="2.25" hidden="1" customHeight="1" spans="1:9">
      <c r="A177" s="122" t="s">
        <v>701</v>
      </c>
      <c r="B177" s="90" t="s">
        <v>702</v>
      </c>
      <c r="C177" s="119" t="s">
        <v>703</v>
      </c>
      <c r="D177" s="92"/>
      <c r="F177" s="93">
        <f t="shared" si="52"/>
        <v>0</v>
      </c>
      <c r="G177" s="160">
        <f t="shared" si="48"/>
        <v>0</v>
      </c>
      <c r="H177" s="80">
        <f t="shared" si="51"/>
        <v>0</v>
      </c>
      <c r="I177" s="80">
        <f t="shared" si="44"/>
        <v>0</v>
      </c>
    </row>
    <row r="178" s="44" customFormat="1" ht="41.25" customHeight="1" spans="1:9">
      <c r="A178" s="129" t="s">
        <v>704</v>
      </c>
      <c r="B178" s="90" t="s">
        <v>705</v>
      </c>
      <c r="C178" s="119" t="s">
        <v>706</v>
      </c>
      <c r="D178" s="92">
        <f>6000000</f>
        <v>6000000</v>
      </c>
      <c r="F178" s="93">
        <f t="shared" si="52"/>
        <v>6000000</v>
      </c>
      <c r="G178" s="71">
        <f t="shared" si="48"/>
        <v>6300000</v>
      </c>
      <c r="H178" s="80">
        <f t="shared" si="51"/>
        <v>6615000</v>
      </c>
      <c r="I178" s="80">
        <f t="shared" si="44"/>
        <v>6945750</v>
      </c>
    </row>
    <row r="179" s="44" customFormat="1" hidden="1" spans="1:9">
      <c r="A179" s="131"/>
      <c r="B179" s="90" t="s">
        <v>707</v>
      </c>
      <c r="C179" s="119" t="s">
        <v>708</v>
      </c>
      <c r="D179" s="92"/>
      <c r="F179" s="93">
        <f t="shared" si="52"/>
        <v>0</v>
      </c>
      <c r="G179" s="71">
        <f t="shared" si="48"/>
        <v>0</v>
      </c>
      <c r="H179" s="80">
        <f t="shared" si="51"/>
        <v>0</v>
      </c>
      <c r="I179" s="80">
        <f t="shared" si="44"/>
        <v>0</v>
      </c>
    </row>
    <row r="180" s="44" customFormat="1" ht="3.75" hidden="1" customHeight="1" spans="1:9">
      <c r="A180" s="131"/>
      <c r="B180" s="90" t="s">
        <v>709</v>
      </c>
      <c r="C180" s="119" t="s">
        <v>710</v>
      </c>
      <c r="D180" s="92"/>
      <c r="F180" s="93">
        <f t="shared" si="52"/>
        <v>0</v>
      </c>
      <c r="G180" s="71">
        <f t="shared" si="48"/>
        <v>0</v>
      </c>
      <c r="H180" s="80">
        <f t="shared" si="51"/>
        <v>0</v>
      </c>
      <c r="I180" s="80">
        <f t="shared" si="44"/>
        <v>0</v>
      </c>
    </row>
    <row r="181" s="44" customFormat="1" ht="6" hidden="1" customHeight="1" spans="1:9">
      <c r="A181" s="133"/>
      <c r="B181" s="90" t="s">
        <v>403</v>
      </c>
      <c r="C181" s="119"/>
      <c r="D181" s="92">
        <f>3000000</f>
        <v>3000000</v>
      </c>
      <c r="E181" s="44">
        <v>0</v>
      </c>
      <c r="F181" s="93">
        <f t="shared" si="52"/>
        <v>3000000</v>
      </c>
      <c r="G181" s="71"/>
      <c r="H181" s="80">
        <f t="shared" si="51"/>
        <v>0</v>
      </c>
      <c r="I181" s="80">
        <f t="shared" si="44"/>
        <v>0</v>
      </c>
    </row>
    <row r="182" s="44" customFormat="1" ht="47.25" customHeight="1" spans="1:9">
      <c r="A182" s="129" t="s">
        <v>711</v>
      </c>
      <c r="B182" s="90"/>
      <c r="C182" s="119" t="s">
        <v>712</v>
      </c>
      <c r="D182" s="92">
        <f>35000000</f>
        <v>35000000</v>
      </c>
      <c r="E182" s="44">
        <v>5000000</v>
      </c>
      <c r="F182" s="93">
        <f t="shared" si="52"/>
        <v>40000000</v>
      </c>
      <c r="G182" s="71">
        <v>37000000</v>
      </c>
      <c r="H182" s="80">
        <f t="shared" si="51"/>
        <v>38850000</v>
      </c>
      <c r="I182" s="80">
        <f t="shared" si="44"/>
        <v>40792500</v>
      </c>
    </row>
    <row r="183" s="44" customFormat="1" ht="46.5" hidden="1" customHeight="1" spans="1:9">
      <c r="A183" s="161"/>
      <c r="B183" s="90" t="s">
        <v>713</v>
      </c>
      <c r="C183" s="119" t="s">
        <v>714</v>
      </c>
      <c r="D183" s="92"/>
      <c r="F183" s="93">
        <f t="shared" si="52"/>
        <v>0</v>
      </c>
      <c r="G183" s="71">
        <f t="shared" si="48"/>
        <v>0</v>
      </c>
      <c r="H183" s="80">
        <f t="shared" si="51"/>
        <v>0</v>
      </c>
      <c r="I183" s="80">
        <f t="shared" si="44"/>
        <v>0</v>
      </c>
    </row>
    <row r="184" s="44" customFormat="1" ht="30" customHeight="1" spans="1:9">
      <c r="A184" s="129" t="s">
        <v>715</v>
      </c>
      <c r="B184" s="90" t="s">
        <v>716</v>
      </c>
      <c r="C184" s="119" t="s">
        <v>717</v>
      </c>
      <c r="D184" s="92">
        <f>127000000</f>
        <v>127000000</v>
      </c>
      <c r="F184" s="93">
        <f t="shared" si="52"/>
        <v>127000000</v>
      </c>
      <c r="G184" s="71">
        <v>119500000</v>
      </c>
      <c r="H184" s="80">
        <f t="shared" si="51"/>
        <v>125475000</v>
      </c>
      <c r="I184" s="80">
        <f t="shared" si="44"/>
        <v>131748750</v>
      </c>
    </row>
    <row r="185" s="44" customFormat="1" ht="1.5" hidden="1" customHeight="1" spans="1:9">
      <c r="A185" s="131"/>
      <c r="B185" s="90"/>
      <c r="C185" s="119"/>
      <c r="D185" s="92"/>
      <c r="F185" s="93"/>
      <c r="G185" s="71"/>
      <c r="H185" s="80"/>
      <c r="I185" s="80">
        <f t="shared" si="44"/>
        <v>0</v>
      </c>
    </row>
    <row r="186" s="44" customFormat="1" ht="19.5" customHeight="1" spans="1:9">
      <c r="A186" s="133"/>
      <c r="B186" s="90"/>
      <c r="C186" s="119" t="s">
        <v>718</v>
      </c>
      <c r="D186" s="92">
        <f>6000000</f>
        <v>6000000</v>
      </c>
      <c r="F186" s="93">
        <f t="shared" si="52"/>
        <v>6000000</v>
      </c>
      <c r="G186" s="71">
        <f>5000000</f>
        <v>5000000</v>
      </c>
      <c r="H186" s="80">
        <f>G186*1.05</f>
        <v>5250000</v>
      </c>
      <c r="I186" s="80">
        <f t="shared" si="44"/>
        <v>5512500</v>
      </c>
    </row>
    <row r="187" s="44" customFormat="1" spans="1:9">
      <c r="A187" s="97" t="s">
        <v>162</v>
      </c>
      <c r="B187" s="98"/>
      <c r="C187" s="99"/>
      <c r="D187" s="100">
        <f t="shared" ref="D187:G187" si="54">SUM(D177:D186)</f>
        <v>177000000</v>
      </c>
      <c r="E187" s="101">
        <f t="shared" si="54"/>
        <v>5000000</v>
      </c>
      <c r="F187" s="162">
        <f t="shared" si="54"/>
        <v>182000000</v>
      </c>
      <c r="G187" s="163">
        <f t="shared" si="54"/>
        <v>167800000</v>
      </c>
      <c r="H187" s="163">
        <f t="shared" ref="H187:I187" si="55">SUM(H177:H186)</f>
        <v>176190000</v>
      </c>
      <c r="I187" s="163">
        <f t="shared" si="55"/>
        <v>184999500</v>
      </c>
    </row>
    <row r="188" spans="1:9">
      <c r="A188" s="79"/>
      <c r="B188" s="79"/>
      <c r="C188" s="79"/>
      <c r="D188" s="79"/>
      <c r="F188" s="80"/>
      <c r="G188" s="71"/>
      <c r="H188" s="80">
        <f>G188*1.05</f>
        <v>0</v>
      </c>
      <c r="I188" s="80">
        <f t="shared" si="44"/>
        <v>0</v>
      </c>
    </row>
    <row r="189" s="44" customFormat="1" spans="1:9">
      <c r="A189" s="164"/>
      <c r="B189" s="84" t="s">
        <v>719</v>
      </c>
      <c r="C189" s="85"/>
      <c r="D189" s="85"/>
      <c r="E189" s="139"/>
      <c r="F189" s="164"/>
      <c r="G189" s="137"/>
      <c r="H189" s="140"/>
      <c r="I189" s="140"/>
    </row>
    <row r="190" s="45" customFormat="1" spans="1:9">
      <c r="A190" s="165"/>
      <c r="B190" s="166" t="s">
        <v>720</v>
      </c>
      <c r="C190" s="167" t="s">
        <v>721</v>
      </c>
      <c r="D190" s="116"/>
      <c r="F190" s="168"/>
      <c r="G190" s="71">
        <f>2000000</f>
        <v>2000000</v>
      </c>
      <c r="H190" s="80"/>
      <c r="I190" s="80">
        <f t="shared" si="44"/>
        <v>0</v>
      </c>
    </row>
    <row r="191" s="44" customFormat="1" ht="27.75" customHeight="1" spans="1:9">
      <c r="A191" s="169" t="s">
        <v>722</v>
      </c>
      <c r="B191" s="170"/>
      <c r="C191" s="119" t="s">
        <v>723</v>
      </c>
      <c r="D191" s="92">
        <f>8000000</f>
        <v>8000000</v>
      </c>
      <c r="E191" s="44">
        <v>3000000</v>
      </c>
      <c r="F191" s="93">
        <f t="shared" ref="F191:F211" si="56">D191+E191</f>
        <v>11000000</v>
      </c>
      <c r="G191" s="71">
        <f>4000000</f>
        <v>4000000</v>
      </c>
      <c r="H191" s="80">
        <f>G191*1.05</f>
        <v>4200000</v>
      </c>
      <c r="I191" s="80">
        <f t="shared" si="44"/>
        <v>4410000</v>
      </c>
    </row>
    <row r="192" s="44" customFormat="1" spans="1:9">
      <c r="A192" s="171"/>
      <c r="B192" s="170"/>
      <c r="C192" s="119" t="s">
        <v>724</v>
      </c>
      <c r="D192" s="92"/>
      <c r="F192" s="93"/>
      <c r="G192" s="71">
        <f>12000000</f>
        <v>12000000</v>
      </c>
      <c r="H192" s="80"/>
      <c r="I192" s="80">
        <f t="shared" si="44"/>
        <v>0</v>
      </c>
    </row>
    <row r="193" s="44" customFormat="1" spans="1:9">
      <c r="A193" s="171"/>
      <c r="B193" s="170"/>
      <c r="C193" s="119" t="s">
        <v>725</v>
      </c>
      <c r="D193" s="92"/>
      <c r="F193" s="93">
        <f t="shared" si="56"/>
        <v>0</v>
      </c>
      <c r="G193" s="172">
        <v>3000000</v>
      </c>
      <c r="H193" s="80">
        <f>G193*1.05</f>
        <v>3150000</v>
      </c>
      <c r="I193" s="80">
        <f t="shared" si="44"/>
        <v>3307500</v>
      </c>
    </row>
    <row r="194" s="44" customFormat="1" spans="1:9">
      <c r="A194" s="171"/>
      <c r="B194" s="170"/>
      <c r="C194" s="119" t="s">
        <v>726</v>
      </c>
      <c r="D194" s="92"/>
      <c r="F194" s="93"/>
      <c r="G194" s="172">
        <v>2000000</v>
      </c>
      <c r="H194" s="80"/>
      <c r="I194" s="80">
        <f t="shared" si="44"/>
        <v>0</v>
      </c>
    </row>
    <row r="195" s="44" customFormat="1" spans="1:9">
      <c r="A195" s="171"/>
      <c r="B195" s="170"/>
      <c r="C195" s="119" t="s">
        <v>727</v>
      </c>
      <c r="D195" s="92"/>
      <c r="F195" s="93"/>
      <c r="G195" s="71">
        <v>5000000</v>
      </c>
      <c r="H195" s="80"/>
      <c r="I195" s="80">
        <f t="shared" si="44"/>
        <v>0</v>
      </c>
    </row>
    <row r="196" s="44" customFormat="1" spans="1:9">
      <c r="A196" s="171"/>
      <c r="B196" s="173"/>
      <c r="C196" s="119" t="s">
        <v>728</v>
      </c>
      <c r="D196" s="92">
        <f>12000000</f>
        <v>12000000</v>
      </c>
      <c r="F196" s="93">
        <f t="shared" si="56"/>
        <v>12000000</v>
      </c>
      <c r="G196" s="172">
        <v>10000000</v>
      </c>
      <c r="H196" s="80">
        <f>G196*1.05</f>
        <v>10500000</v>
      </c>
      <c r="I196" s="80">
        <f t="shared" si="44"/>
        <v>11025000</v>
      </c>
    </row>
    <row r="197" s="44" customFormat="1" ht="15.6" customHeight="1" spans="1:9">
      <c r="A197" s="171"/>
      <c r="B197" s="90" t="s">
        <v>729</v>
      </c>
      <c r="C197" s="130" t="s">
        <v>730</v>
      </c>
      <c r="D197" s="92">
        <f>4400000</f>
        <v>4400000</v>
      </c>
      <c r="F197" s="93">
        <f t="shared" si="56"/>
        <v>4400000</v>
      </c>
      <c r="G197" s="71">
        <v>5000000</v>
      </c>
      <c r="H197" s="80">
        <f>G197*1.05</f>
        <v>5250000</v>
      </c>
      <c r="I197" s="80">
        <f t="shared" si="44"/>
        <v>5512500</v>
      </c>
    </row>
    <row r="198" s="44" customFormat="1" ht="15.6" customHeight="1" spans="1:9">
      <c r="A198" s="171"/>
      <c r="B198" s="90"/>
      <c r="C198" s="130" t="s">
        <v>527</v>
      </c>
      <c r="D198" s="92"/>
      <c r="F198" s="93"/>
      <c r="G198" s="114"/>
      <c r="H198" s="80"/>
      <c r="I198" s="80">
        <f t="shared" si="44"/>
        <v>0</v>
      </c>
    </row>
    <row r="199" s="44" customFormat="1" spans="1:9">
      <c r="A199" s="171"/>
      <c r="B199" s="90"/>
      <c r="C199" s="130" t="s">
        <v>731</v>
      </c>
      <c r="D199" s="92">
        <v>110729613</v>
      </c>
      <c r="F199" s="93">
        <f t="shared" si="56"/>
        <v>110729613</v>
      </c>
      <c r="G199" s="71">
        <f>[1]Revenues!H7</f>
        <v>110729613</v>
      </c>
      <c r="H199" s="80">
        <f t="shared" ref="H199:H206" si="57">G199*1.05</f>
        <v>116266093.65</v>
      </c>
      <c r="I199" s="80">
        <f t="shared" si="44"/>
        <v>122079398.3325</v>
      </c>
    </row>
    <row r="200" s="44" customFormat="1" spans="1:9">
      <c r="A200" s="171"/>
      <c r="B200" s="90"/>
      <c r="C200" s="130" t="s">
        <v>732</v>
      </c>
      <c r="D200" s="92">
        <v>0</v>
      </c>
      <c r="F200" s="93">
        <f t="shared" si="56"/>
        <v>0</v>
      </c>
      <c r="G200" s="71">
        <f>Revenues!H8</f>
        <v>80729613</v>
      </c>
      <c r="H200" s="80">
        <f t="shared" si="57"/>
        <v>84766093.65</v>
      </c>
      <c r="I200" s="80">
        <f t="shared" si="44"/>
        <v>89004398.3325</v>
      </c>
    </row>
    <row r="201" s="44" customFormat="1" spans="1:9">
      <c r="A201" s="171"/>
      <c r="B201" s="90"/>
      <c r="C201" s="130" t="s">
        <v>733</v>
      </c>
      <c r="D201" s="92">
        <v>17000000</v>
      </c>
      <c r="F201" s="93">
        <f t="shared" si="56"/>
        <v>17000000</v>
      </c>
      <c r="G201" s="71">
        <v>0</v>
      </c>
      <c r="H201" s="80">
        <f t="shared" si="57"/>
        <v>0</v>
      </c>
      <c r="I201" s="80">
        <f t="shared" si="44"/>
        <v>0</v>
      </c>
    </row>
    <row r="202" s="44" customFormat="1" ht="33" customHeight="1" spans="1:9">
      <c r="A202" s="171"/>
      <c r="B202" s="90"/>
      <c r="C202" s="119" t="s">
        <v>734</v>
      </c>
      <c r="D202" s="92">
        <v>105000000</v>
      </c>
      <c r="F202" s="93">
        <f t="shared" si="56"/>
        <v>105000000</v>
      </c>
      <c r="G202" s="71">
        <v>70000000</v>
      </c>
      <c r="H202" s="80">
        <v>102900000.050001</v>
      </c>
      <c r="I202" s="80">
        <f t="shared" si="44"/>
        <v>108045000.052501</v>
      </c>
    </row>
    <row r="203" s="44" customFormat="1" ht="69.75" customHeight="1" spans="1:9">
      <c r="A203" s="171"/>
      <c r="B203" s="174" t="s">
        <v>735</v>
      </c>
      <c r="C203" s="143" t="s">
        <v>736</v>
      </c>
      <c r="D203" s="144">
        <v>10000000</v>
      </c>
      <c r="F203" s="93">
        <f t="shared" si="56"/>
        <v>10000000</v>
      </c>
      <c r="G203" s="71">
        <f t="shared" si="48"/>
        <v>10500000</v>
      </c>
      <c r="H203" s="80">
        <f t="shared" si="57"/>
        <v>11025000</v>
      </c>
      <c r="I203" s="80">
        <f t="shared" si="44"/>
        <v>11576250</v>
      </c>
    </row>
    <row r="204" s="44" customFormat="1" ht="6" hidden="1" customHeight="1" spans="1:9">
      <c r="A204" s="171"/>
      <c r="B204" s="175"/>
      <c r="C204" s="143" t="s">
        <v>527</v>
      </c>
      <c r="D204" s="176">
        <f>D203</f>
        <v>10000000</v>
      </c>
      <c r="E204" s="176">
        <f t="shared" ref="E204:F204" si="58">E203</f>
        <v>0</v>
      </c>
      <c r="F204" s="177">
        <f t="shared" si="58"/>
        <v>10000000</v>
      </c>
      <c r="G204" s="178"/>
      <c r="H204" s="80">
        <f t="shared" si="57"/>
        <v>0</v>
      </c>
      <c r="I204" s="80">
        <f t="shared" si="44"/>
        <v>0</v>
      </c>
    </row>
    <row r="205" s="44" customFormat="1" ht="23.25" customHeight="1" spans="1:9">
      <c r="A205" s="171"/>
      <c r="B205" s="174" t="s">
        <v>737</v>
      </c>
      <c r="C205" s="143" t="s">
        <v>738</v>
      </c>
      <c r="D205" s="144">
        <v>6000000</v>
      </c>
      <c r="F205" s="93">
        <f>D205+E205</f>
        <v>6000000</v>
      </c>
      <c r="G205" s="71">
        <f t="shared" si="48"/>
        <v>6300000</v>
      </c>
      <c r="H205" s="80">
        <f t="shared" si="57"/>
        <v>6615000</v>
      </c>
      <c r="I205" s="80">
        <f t="shared" si="44"/>
        <v>6945750</v>
      </c>
    </row>
    <row r="206" s="44" customFormat="1" ht="54" spans="1:9">
      <c r="A206" s="171"/>
      <c r="B206" s="175"/>
      <c r="C206" s="143" t="s">
        <v>739</v>
      </c>
      <c r="D206" s="153">
        <v>1000000</v>
      </c>
      <c r="E206" s="44">
        <v>-1000000</v>
      </c>
      <c r="F206" s="93">
        <f>D206+E206</f>
        <v>0</v>
      </c>
      <c r="G206" s="71">
        <v>1000000</v>
      </c>
      <c r="H206" s="80">
        <f t="shared" si="57"/>
        <v>1050000</v>
      </c>
      <c r="I206" s="80">
        <f t="shared" si="44"/>
        <v>1102500</v>
      </c>
    </row>
    <row r="207" s="44" customFormat="1" ht="2.25" hidden="1" customHeight="1" spans="1:9">
      <c r="A207" s="171"/>
      <c r="B207" s="179"/>
      <c r="C207" s="143" t="s">
        <v>527</v>
      </c>
      <c r="D207" s="180">
        <f>SUM(D205:D206)</f>
        <v>7000000</v>
      </c>
      <c r="E207" s="180">
        <f t="shared" ref="E207:F207" si="59">SUM(E205:E206)</f>
        <v>-1000000</v>
      </c>
      <c r="F207" s="181">
        <f t="shared" si="59"/>
        <v>6000000</v>
      </c>
      <c r="G207" s="71"/>
      <c r="H207" s="80"/>
      <c r="I207" s="80">
        <f t="shared" si="44"/>
        <v>0</v>
      </c>
    </row>
    <row r="208" s="44" customFormat="1" spans="1:9">
      <c r="A208" s="171"/>
      <c r="B208" s="174" t="s">
        <v>740</v>
      </c>
      <c r="C208" s="143" t="s">
        <v>741</v>
      </c>
      <c r="D208" s="144">
        <v>8000000</v>
      </c>
      <c r="F208" s="93">
        <f t="shared" si="56"/>
        <v>8000000</v>
      </c>
      <c r="G208" s="71">
        <f t="shared" si="48"/>
        <v>8400000</v>
      </c>
      <c r="H208" s="80">
        <f>G208*1.05</f>
        <v>8820000</v>
      </c>
      <c r="I208" s="80">
        <f t="shared" si="44"/>
        <v>9261000</v>
      </c>
    </row>
    <row r="209" s="44" customFormat="1" spans="1:9">
      <c r="A209" s="171"/>
      <c r="B209" s="175"/>
      <c r="C209" s="143"/>
      <c r="D209" s="144">
        <f>D208</f>
        <v>8000000</v>
      </c>
      <c r="F209" s="93">
        <f t="shared" si="56"/>
        <v>8000000</v>
      </c>
      <c r="G209" s="71"/>
      <c r="H209" s="80">
        <f>G209*1.05</f>
        <v>0</v>
      </c>
      <c r="I209" s="80">
        <f t="shared" si="44"/>
        <v>0</v>
      </c>
    </row>
    <row r="210" s="44" customFormat="1" spans="1:9">
      <c r="A210" s="171"/>
      <c r="B210" s="142" t="s">
        <v>742</v>
      </c>
      <c r="C210" s="143" t="s">
        <v>743</v>
      </c>
      <c r="D210" s="144"/>
      <c r="F210" s="93"/>
      <c r="G210" s="71">
        <f>3000000</f>
        <v>3000000</v>
      </c>
      <c r="H210" s="80"/>
      <c r="I210" s="80">
        <f t="shared" si="44"/>
        <v>0</v>
      </c>
    </row>
    <row r="211" s="44" customFormat="1" spans="1:9">
      <c r="A211" s="182"/>
      <c r="B211" s="142"/>
      <c r="C211" s="143" t="s">
        <v>744</v>
      </c>
      <c r="D211" s="144"/>
      <c r="E211" s="44">
        <v>20000000</v>
      </c>
      <c r="F211" s="93">
        <f t="shared" si="56"/>
        <v>20000000</v>
      </c>
      <c r="G211" s="71">
        <v>5000000</v>
      </c>
      <c r="H211" s="80">
        <f>G211*1.05</f>
        <v>5250000</v>
      </c>
      <c r="I211" s="80">
        <f t="shared" si="44"/>
        <v>5512500</v>
      </c>
    </row>
    <row r="212" s="44" customFormat="1" spans="1:9">
      <c r="A212" s="183"/>
      <c r="B212" s="98"/>
      <c r="C212" s="97" t="s">
        <v>162</v>
      </c>
      <c r="D212" s="98"/>
      <c r="E212" s="99"/>
      <c r="F212" s="184">
        <f>SUM(F191:F211)</f>
        <v>328129613</v>
      </c>
      <c r="G212" s="100">
        <f>SUM(G190:G211)</f>
        <v>338659226</v>
      </c>
      <c r="H212" s="100">
        <f t="shared" ref="H212:I212" si="60">SUM(H191:H211)</f>
        <v>359792187.350001</v>
      </c>
      <c r="I212" s="100">
        <f t="shared" si="60"/>
        <v>377781796.717501</v>
      </c>
    </row>
    <row r="213" s="44" customFormat="1" spans="4:9">
      <c r="D213" s="100"/>
      <c r="E213" s="101"/>
      <c r="F213" s="185"/>
      <c r="G213" s="103"/>
      <c r="H213" s="106"/>
      <c r="I213" s="80"/>
    </row>
    <row r="214" s="44" customFormat="1" spans="1:9">
      <c r="A214" s="117"/>
      <c r="B214" s="84" t="s">
        <v>745</v>
      </c>
      <c r="C214" s="85"/>
      <c r="D214" s="85"/>
      <c r="F214" s="83"/>
      <c r="G214" s="117"/>
      <c r="H214" s="86"/>
      <c r="I214" s="86"/>
    </row>
    <row r="215" s="46" customFormat="1" ht="81.75" customHeight="1" spans="1:9">
      <c r="A215" s="123" t="s">
        <v>746</v>
      </c>
      <c r="B215" s="90" t="s">
        <v>747</v>
      </c>
      <c r="C215" s="186" t="s">
        <v>562</v>
      </c>
      <c r="D215" s="187">
        <f>5000000</f>
        <v>5000000</v>
      </c>
      <c r="F215" s="188">
        <f t="shared" ref="F215:F220" si="61">D215+E215</f>
        <v>5000000</v>
      </c>
      <c r="G215" s="172">
        <v>20000000</v>
      </c>
      <c r="H215" s="154">
        <f t="shared" ref="H215:H220" si="62">G215*1.05</f>
        <v>21000000</v>
      </c>
      <c r="I215" s="80">
        <f t="shared" si="44"/>
        <v>22050000</v>
      </c>
    </row>
    <row r="216" s="44" customFormat="1" hidden="1" spans="1:9">
      <c r="A216" s="125"/>
      <c r="B216" s="90"/>
      <c r="C216" s="119" t="s">
        <v>748</v>
      </c>
      <c r="D216" s="92"/>
      <c r="F216" s="93">
        <f t="shared" si="61"/>
        <v>0</v>
      </c>
      <c r="G216" s="160">
        <f t="shared" ref="G216:G237" si="63">F216*1.05</f>
        <v>0</v>
      </c>
      <c r="H216" s="80">
        <f t="shared" si="62"/>
        <v>0</v>
      </c>
      <c r="I216" s="80">
        <f t="shared" si="44"/>
        <v>0</v>
      </c>
    </row>
    <row r="217" s="44" customFormat="1" ht="3" hidden="1" customHeight="1" spans="1:9">
      <c r="A217" s="125"/>
      <c r="B217" s="90"/>
      <c r="C217" s="119" t="s">
        <v>749</v>
      </c>
      <c r="D217" s="92">
        <f>10000000</f>
        <v>10000000</v>
      </c>
      <c r="F217" s="93">
        <f t="shared" si="61"/>
        <v>10000000</v>
      </c>
      <c r="G217" s="160">
        <v>0</v>
      </c>
      <c r="H217" s="80">
        <f t="shared" si="62"/>
        <v>0</v>
      </c>
      <c r="I217" s="80">
        <f t="shared" ref="I217:I261" si="64">H217*1.05</f>
        <v>0</v>
      </c>
    </row>
    <row r="218" s="44" customFormat="1" hidden="1" spans="1:9">
      <c r="A218" s="125"/>
      <c r="B218" s="90"/>
      <c r="C218" s="121" t="s">
        <v>750</v>
      </c>
      <c r="D218" s="92">
        <f>25000000</f>
        <v>25000000</v>
      </c>
      <c r="F218" s="93">
        <f t="shared" si="61"/>
        <v>25000000</v>
      </c>
      <c r="G218" s="160">
        <v>0</v>
      </c>
      <c r="H218" s="80">
        <f t="shared" si="62"/>
        <v>0</v>
      </c>
      <c r="I218" s="80">
        <f t="shared" si="64"/>
        <v>0</v>
      </c>
    </row>
    <row r="219" s="44" customFormat="1" hidden="1" spans="1:9">
      <c r="A219" s="125"/>
      <c r="B219" s="90"/>
      <c r="C219" s="121" t="s">
        <v>751</v>
      </c>
      <c r="D219" s="92"/>
      <c r="E219" s="44">
        <v>56000000</v>
      </c>
      <c r="F219" s="93">
        <f t="shared" si="61"/>
        <v>56000000</v>
      </c>
      <c r="G219" s="160">
        <v>0</v>
      </c>
      <c r="H219" s="80">
        <f t="shared" si="62"/>
        <v>0</v>
      </c>
      <c r="I219" s="80">
        <f t="shared" si="64"/>
        <v>0</v>
      </c>
    </row>
    <row r="220" s="44" customFormat="1" hidden="1" spans="1:9">
      <c r="A220" s="127"/>
      <c r="B220" s="90"/>
      <c r="C220" s="119" t="s">
        <v>752</v>
      </c>
      <c r="D220" s="92"/>
      <c r="F220" s="93">
        <f t="shared" si="61"/>
        <v>0</v>
      </c>
      <c r="G220" s="160">
        <f t="shared" si="63"/>
        <v>0</v>
      </c>
      <c r="H220" s="80">
        <f t="shared" si="62"/>
        <v>0</v>
      </c>
      <c r="I220" s="80">
        <f t="shared" si="64"/>
        <v>0</v>
      </c>
    </row>
    <row r="221" s="44" customFormat="1" spans="1:9">
      <c r="A221" s="97" t="s">
        <v>162</v>
      </c>
      <c r="B221" s="98"/>
      <c r="C221" s="99"/>
      <c r="D221" s="100">
        <f t="shared" ref="D221:H221" si="65">SUM(D215:D220)</f>
        <v>40000000</v>
      </c>
      <c r="E221" s="101">
        <f t="shared" si="65"/>
        <v>56000000</v>
      </c>
      <c r="F221" s="184">
        <f t="shared" si="65"/>
        <v>96000000</v>
      </c>
      <c r="G221" s="100">
        <f t="shared" si="65"/>
        <v>20000000</v>
      </c>
      <c r="H221" s="100">
        <f t="shared" si="65"/>
        <v>21000000</v>
      </c>
      <c r="I221" s="100">
        <f t="shared" ref="I221" si="66">SUM(I215:I220)</f>
        <v>22050000</v>
      </c>
    </row>
    <row r="222" spans="1:9">
      <c r="A222" s="79"/>
      <c r="B222" s="79"/>
      <c r="C222" s="79"/>
      <c r="D222" s="79"/>
      <c r="F222" s="93"/>
      <c r="G222" s="71"/>
      <c r="H222" s="80"/>
      <c r="I222" s="80"/>
    </row>
    <row r="223" spans="1:9">
      <c r="A223" s="83"/>
      <c r="B223" s="84" t="s">
        <v>753</v>
      </c>
      <c r="C223" s="85"/>
      <c r="D223" s="85"/>
      <c r="F223" s="83"/>
      <c r="G223" s="117"/>
      <c r="H223" s="86"/>
      <c r="I223" s="86"/>
    </row>
    <row r="224" ht="34.8" spans="1:9">
      <c r="A224" s="123" t="s">
        <v>694</v>
      </c>
      <c r="B224" s="90" t="s">
        <v>754</v>
      </c>
      <c r="C224" s="121" t="s">
        <v>755</v>
      </c>
      <c r="D224" s="92">
        <f>10000000</f>
        <v>10000000</v>
      </c>
      <c r="F224" s="93">
        <f t="shared" ref="F224:F237" si="67">D224+E224</f>
        <v>10000000</v>
      </c>
      <c r="G224" s="71"/>
      <c r="H224" s="80">
        <f>G224*1.05</f>
        <v>0</v>
      </c>
      <c r="I224" s="80">
        <f t="shared" si="64"/>
        <v>0</v>
      </c>
    </row>
    <row r="225" spans="1:9">
      <c r="A225" s="125"/>
      <c r="B225" s="90"/>
      <c r="C225" s="189" t="s">
        <v>756</v>
      </c>
      <c r="D225" s="48"/>
      <c r="E225" s="190"/>
      <c r="F225" s="191"/>
      <c r="G225" s="71">
        <v>5000000</v>
      </c>
      <c r="H225" s="80">
        <f t="shared" ref="H225:H261" si="68">G225*1.05</f>
        <v>5250000</v>
      </c>
      <c r="I225" s="80">
        <f t="shared" si="64"/>
        <v>5512500</v>
      </c>
    </row>
    <row r="226" spans="1:9">
      <c r="A226" s="125"/>
      <c r="B226" s="192" t="s">
        <v>371</v>
      </c>
      <c r="C226" s="189" t="s">
        <v>757</v>
      </c>
      <c r="D226" s="48"/>
      <c r="E226" s="190"/>
      <c r="F226" s="191"/>
      <c r="G226" s="71">
        <v>1000000</v>
      </c>
      <c r="H226" s="80">
        <f t="shared" si="68"/>
        <v>1050000</v>
      </c>
      <c r="I226" s="80">
        <f t="shared" si="64"/>
        <v>1102500</v>
      </c>
    </row>
    <row r="227" spans="1:9">
      <c r="A227" s="125"/>
      <c r="B227" s="90"/>
      <c r="C227" s="189" t="s">
        <v>758</v>
      </c>
      <c r="D227" s="48"/>
      <c r="E227" s="190"/>
      <c r="F227" s="191"/>
      <c r="G227" s="71">
        <f>10000000</f>
        <v>10000000</v>
      </c>
      <c r="H227" s="80">
        <f t="shared" si="68"/>
        <v>10500000</v>
      </c>
      <c r="I227" s="80">
        <f t="shared" si="64"/>
        <v>11025000</v>
      </c>
    </row>
    <row r="228" spans="1:9">
      <c r="A228" s="125"/>
      <c r="B228" s="90"/>
      <c r="C228" s="189" t="s">
        <v>759</v>
      </c>
      <c r="D228" s="48"/>
      <c r="E228" s="190"/>
      <c r="F228" s="191"/>
      <c r="G228" s="71">
        <v>1000000</v>
      </c>
      <c r="H228" s="80">
        <f t="shared" si="68"/>
        <v>1050000</v>
      </c>
      <c r="I228" s="80">
        <f t="shared" si="64"/>
        <v>1102500</v>
      </c>
    </row>
    <row r="229" ht="27.75" customHeight="1" spans="1:9">
      <c r="A229" s="125"/>
      <c r="B229" s="90"/>
      <c r="C229" s="189" t="s">
        <v>760</v>
      </c>
      <c r="D229" s="48"/>
      <c r="E229" s="190"/>
      <c r="F229" s="191"/>
      <c r="G229" s="71">
        <v>2000000</v>
      </c>
      <c r="H229" s="80">
        <f t="shared" si="68"/>
        <v>2100000</v>
      </c>
      <c r="I229" s="80">
        <f t="shared" si="64"/>
        <v>2205000</v>
      </c>
    </row>
    <row r="230" customHeight="1" spans="1:9">
      <c r="A230" s="125"/>
      <c r="B230" s="90"/>
      <c r="C230" s="121"/>
      <c r="D230" s="92"/>
      <c r="F230" s="93"/>
      <c r="G230" s="71"/>
      <c r="H230" s="80">
        <f t="shared" si="68"/>
        <v>0</v>
      </c>
      <c r="I230" s="80">
        <f t="shared" si="64"/>
        <v>0</v>
      </c>
    </row>
    <row r="231" ht="36" spans="1:9">
      <c r="A231" s="125"/>
      <c r="B231" s="90"/>
      <c r="C231" s="121" t="s">
        <v>761</v>
      </c>
      <c r="D231" s="92"/>
      <c r="E231" s="48"/>
      <c r="F231" s="93"/>
      <c r="G231" s="71">
        <v>35500000</v>
      </c>
      <c r="H231" s="80">
        <f t="shared" si="68"/>
        <v>37275000</v>
      </c>
      <c r="I231" s="80">
        <f t="shared" si="64"/>
        <v>39138750</v>
      </c>
    </row>
    <row r="232" spans="1:9">
      <c r="A232" s="125"/>
      <c r="B232" s="90"/>
      <c r="C232" s="121" t="s">
        <v>762</v>
      </c>
      <c r="D232" s="92"/>
      <c r="E232" s="48"/>
      <c r="F232" s="93"/>
      <c r="G232" s="71">
        <v>4500000</v>
      </c>
      <c r="H232" s="80">
        <f t="shared" si="68"/>
        <v>4725000</v>
      </c>
      <c r="I232" s="80">
        <f t="shared" si="64"/>
        <v>4961250</v>
      </c>
    </row>
    <row r="233" spans="1:9">
      <c r="A233" s="125"/>
      <c r="B233" s="90"/>
      <c r="C233" s="121" t="s">
        <v>763</v>
      </c>
      <c r="D233" s="92"/>
      <c r="E233" s="48"/>
      <c r="F233" s="93"/>
      <c r="G233" s="71">
        <v>8000000</v>
      </c>
      <c r="H233" s="80">
        <f t="shared" si="68"/>
        <v>8400000</v>
      </c>
      <c r="I233" s="80">
        <f t="shared" si="64"/>
        <v>8820000</v>
      </c>
    </row>
    <row r="234" spans="1:9">
      <c r="A234" s="125"/>
      <c r="B234" s="90"/>
      <c r="C234" s="121" t="s">
        <v>764</v>
      </c>
      <c r="D234" s="92"/>
      <c r="E234" s="48"/>
      <c r="F234" s="93"/>
      <c r="G234" s="71">
        <v>4000000</v>
      </c>
      <c r="H234" s="80">
        <f t="shared" si="68"/>
        <v>4200000</v>
      </c>
      <c r="I234" s="80">
        <f t="shared" si="64"/>
        <v>4410000</v>
      </c>
    </row>
    <row r="235" spans="1:9">
      <c r="A235" s="125"/>
      <c r="B235" s="90"/>
      <c r="C235" s="121" t="s">
        <v>765</v>
      </c>
      <c r="D235" s="92"/>
      <c r="E235" s="48"/>
      <c r="F235" s="93"/>
      <c r="G235" s="71">
        <v>10000000</v>
      </c>
      <c r="H235" s="80">
        <f t="shared" si="68"/>
        <v>10500000</v>
      </c>
      <c r="I235" s="80">
        <f t="shared" si="64"/>
        <v>11025000</v>
      </c>
    </row>
    <row r="236" spans="1:9">
      <c r="A236" s="125"/>
      <c r="B236" s="90"/>
      <c r="C236" s="121" t="s">
        <v>766</v>
      </c>
      <c r="D236" s="92">
        <v>35371824</v>
      </c>
      <c r="F236" s="93">
        <f t="shared" si="67"/>
        <v>35371824</v>
      </c>
      <c r="G236" s="71"/>
      <c r="H236" s="80">
        <f t="shared" si="68"/>
        <v>0</v>
      </c>
      <c r="I236" s="80">
        <f t="shared" si="64"/>
        <v>0</v>
      </c>
    </row>
    <row r="237" spans="1:9">
      <c r="A237" s="82"/>
      <c r="B237" s="134"/>
      <c r="C237" s="193"/>
      <c r="D237" s="92"/>
      <c r="F237" s="93">
        <f t="shared" si="67"/>
        <v>0</v>
      </c>
      <c r="G237" s="71">
        <f t="shared" si="63"/>
        <v>0</v>
      </c>
      <c r="H237" s="80">
        <f t="shared" si="68"/>
        <v>0</v>
      </c>
      <c r="I237" s="80">
        <f t="shared" si="64"/>
        <v>0</v>
      </c>
    </row>
    <row r="238" spans="1:9">
      <c r="A238" s="97" t="s">
        <v>162</v>
      </c>
      <c r="B238" s="98"/>
      <c r="C238" s="99"/>
      <c r="D238" s="100">
        <f>SUM(D224:D237)</f>
        <v>45371824</v>
      </c>
      <c r="E238" s="101">
        <f>SUM(E224:E237)</f>
        <v>0</v>
      </c>
      <c r="F238" s="184">
        <f>SUM(F224:F237)</f>
        <v>45371824</v>
      </c>
      <c r="G238" s="100">
        <f>SUM(G224:G237)</f>
        <v>81000000</v>
      </c>
      <c r="H238" s="100">
        <f t="shared" ref="H238:I238" si="69">SUM(H224:H237)</f>
        <v>85050000</v>
      </c>
      <c r="I238" s="100">
        <f t="shared" si="69"/>
        <v>89302500</v>
      </c>
    </row>
    <row r="239" spans="1:9">
      <c r="A239" s="79"/>
      <c r="B239" s="79"/>
      <c r="C239" s="79"/>
      <c r="D239" s="79"/>
      <c r="F239" s="80"/>
      <c r="G239" s="71"/>
      <c r="H239" s="80"/>
      <c r="I239" s="80"/>
    </row>
    <row r="240" spans="1:9">
      <c r="A240" s="194"/>
      <c r="B240" s="195" t="s">
        <v>515</v>
      </c>
      <c r="C240" s="196"/>
      <c r="D240" s="196"/>
      <c r="E240" s="139"/>
      <c r="F240" s="164"/>
      <c r="G240" s="137"/>
      <c r="H240" s="86"/>
      <c r="I240" s="86"/>
    </row>
    <row r="241" spans="1:9">
      <c r="A241" s="89" t="s">
        <v>694</v>
      </c>
      <c r="B241" s="197" t="s">
        <v>767</v>
      </c>
      <c r="C241" s="198" t="s">
        <v>768</v>
      </c>
      <c r="D241" s="199">
        <f>5000000</f>
        <v>5000000</v>
      </c>
      <c r="F241" s="93">
        <f>D241+E241</f>
        <v>5000000</v>
      </c>
      <c r="G241" s="71"/>
      <c r="H241" s="80">
        <f t="shared" si="68"/>
        <v>0</v>
      </c>
      <c r="I241" s="80">
        <f t="shared" si="64"/>
        <v>0</v>
      </c>
    </row>
    <row r="242" spans="1:9">
      <c r="A242" s="94"/>
      <c r="B242" s="197"/>
      <c r="C242" s="155" t="s">
        <v>769</v>
      </c>
      <c r="D242" s="199"/>
      <c r="E242" s="48"/>
      <c r="F242" s="93"/>
      <c r="G242" s="71">
        <v>5250000</v>
      </c>
      <c r="H242" s="80">
        <f t="shared" si="68"/>
        <v>5512500</v>
      </c>
      <c r="I242" s="80">
        <f t="shared" si="64"/>
        <v>5788125</v>
      </c>
    </row>
    <row r="243" spans="1:9">
      <c r="A243" s="94"/>
      <c r="B243" s="197"/>
      <c r="C243" s="198" t="s">
        <v>770</v>
      </c>
      <c r="D243" s="199"/>
      <c r="F243" s="93"/>
      <c r="G243" s="71">
        <f>6000000</f>
        <v>6000000</v>
      </c>
      <c r="H243" s="80">
        <f t="shared" si="68"/>
        <v>6300000</v>
      </c>
      <c r="I243" s="80">
        <f t="shared" si="64"/>
        <v>6615000</v>
      </c>
    </row>
    <row r="244" spans="1:9">
      <c r="A244" s="94"/>
      <c r="B244" s="197"/>
      <c r="C244" s="198" t="s">
        <v>771</v>
      </c>
      <c r="D244" s="199"/>
      <c r="E244" s="48"/>
      <c r="F244" s="93"/>
      <c r="G244" s="71">
        <v>17000000</v>
      </c>
      <c r="H244" s="80">
        <f t="shared" si="68"/>
        <v>17850000</v>
      </c>
      <c r="I244" s="80">
        <f t="shared" si="64"/>
        <v>18742500</v>
      </c>
    </row>
    <row r="245" spans="1:9">
      <c r="A245" s="94"/>
      <c r="B245" s="197"/>
      <c r="C245" s="198" t="s">
        <v>772</v>
      </c>
      <c r="D245" s="199"/>
      <c r="E245" s="48"/>
      <c r="F245" s="93"/>
      <c r="G245" s="71">
        <v>15000000</v>
      </c>
      <c r="H245" s="80">
        <f t="shared" si="68"/>
        <v>15750000</v>
      </c>
      <c r="I245" s="80">
        <f t="shared" si="64"/>
        <v>16537500</v>
      </c>
    </row>
    <row r="246" spans="1:9">
      <c r="A246" s="94"/>
      <c r="B246" s="197"/>
      <c r="C246" s="198" t="s">
        <v>773</v>
      </c>
      <c r="D246" s="199"/>
      <c r="E246" s="48"/>
      <c r="F246" s="93"/>
      <c r="G246" s="71">
        <v>7000000</v>
      </c>
      <c r="H246" s="80">
        <f t="shared" si="68"/>
        <v>7350000</v>
      </c>
      <c r="I246" s="80">
        <f t="shared" si="64"/>
        <v>7717500</v>
      </c>
    </row>
    <row r="247" ht="36" spans="1:9">
      <c r="A247" s="94"/>
      <c r="B247" s="197"/>
      <c r="C247" s="155" t="s">
        <v>774</v>
      </c>
      <c r="D247" s="199"/>
      <c r="E247" s="48"/>
      <c r="F247" s="93"/>
      <c r="G247" s="71">
        <v>20000000</v>
      </c>
      <c r="H247" s="80">
        <f t="shared" si="68"/>
        <v>21000000</v>
      </c>
      <c r="I247" s="80">
        <f t="shared" si="64"/>
        <v>22050000</v>
      </c>
    </row>
    <row r="248" spans="1:9">
      <c r="A248" s="94"/>
      <c r="B248" s="197"/>
      <c r="C248" s="198" t="s">
        <v>775</v>
      </c>
      <c r="D248" s="199"/>
      <c r="E248" s="48"/>
      <c r="F248" s="93"/>
      <c r="G248" s="71">
        <v>3000000</v>
      </c>
      <c r="H248" s="80">
        <f t="shared" si="68"/>
        <v>3150000</v>
      </c>
      <c r="I248" s="80">
        <f t="shared" si="64"/>
        <v>3307500</v>
      </c>
    </row>
    <row r="249" spans="1:9">
      <c r="A249" s="94"/>
      <c r="B249" s="197"/>
      <c r="C249" s="198"/>
      <c r="D249" s="199"/>
      <c r="E249" s="48"/>
      <c r="F249" s="93"/>
      <c r="G249" s="71"/>
      <c r="H249" s="80">
        <f t="shared" si="68"/>
        <v>0</v>
      </c>
      <c r="I249" s="80">
        <f t="shared" si="64"/>
        <v>0</v>
      </c>
    </row>
    <row r="250" spans="1:9">
      <c r="A250" s="95"/>
      <c r="B250" s="197"/>
      <c r="C250" s="198" t="s">
        <v>766</v>
      </c>
      <c r="D250" s="199">
        <v>35371824</v>
      </c>
      <c r="F250" s="93">
        <f>D250+E250</f>
        <v>35371824</v>
      </c>
      <c r="G250" s="71"/>
      <c r="H250" s="80">
        <f t="shared" si="68"/>
        <v>0</v>
      </c>
      <c r="I250" s="80">
        <f t="shared" si="64"/>
        <v>0</v>
      </c>
    </row>
    <row r="251" spans="1:9">
      <c r="A251" s="97" t="s">
        <v>162</v>
      </c>
      <c r="B251" s="98"/>
      <c r="C251" s="99"/>
      <c r="D251" s="200">
        <f>SUM(D241:D250)</f>
        <v>40371824</v>
      </c>
      <c r="E251" s="201">
        <f>SUM(E241:E250)</f>
        <v>0</v>
      </c>
      <c r="F251" s="202">
        <f>SUM(F241:F250)</f>
        <v>40371824</v>
      </c>
      <c r="G251" s="200">
        <f>SUM(G241:G250)</f>
        <v>73250000</v>
      </c>
      <c r="H251" s="200">
        <f t="shared" ref="H251:I251" si="70">SUM(H241:H250)</f>
        <v>76912500</v>
      </c>
      <c r="I251" s="200">
        <f t="shared" si="70"/>
        <v>80758125</v>
      </c>
    </row>
    <row r="252" spans="1:9">
      <c r="A252" s="79"/>
      <c r="B252" s="79"/>
      <c r="C252" s="79"/>
      <c r="D252" s="79"/>
      <c r="F252" s="80"/>
      <c r="G252" s="71"/>
      <c r="H252" s="80"/>
      <c r="I252" s="80"/>
    </row>
    <row r="253" spans="1:9">
      <c r="A253" s="195" t="s">
        <v>528</v>
      </c>
      <c r="B253" s="195"/>
      <c r="C253" s="196"/>
      <c r="D253" s="196"/>
      <c r="E253" s="139"/>
      <c r="F253" s="195"/>
      <c r="G253" s="196"/>
      <c r="H253" s="86"/>
      <c r="I253" s="86"/>
    </row>
    <row r="254" spans="1:9">
      <c r="A254" s="89" t="s">
        <v>528</v>
      </c>
      <c r="B254" s="197" t="s">
        <v>303</v>
      </c>
      <c r="C254" s="198" t="s">
        <v>768</v>
      </c>
      <c r="D254" s="199">
        <f>10000000</f>
        <v>10000000</v>
      </c>
      <c r="F254" s="93">
        <f>D254+E254</f>
        <v>10000000</v>
      </c>
      <c r="G254" s="71"/>
      <c r="H254" s="80">
        <f t="shared" si="68"/>
        <v>0</v>
      </c>
      <c r="I254" s="80">
        <f t="shared" si="64"/>
        <v>0</v>
      </c>
    </row>
    <row r="255" spans="1:9">
      <c r="A255" s="94"/>
      <c r="B255" s="197"/>
      <c r="C255" s="203" t="s">
        <v>776</v>
      </c>
      <c r="D255" s="204"/>
      <c r="E255" s="48"/>
      <c r="F255" s="93"/>
      <c r="G255" s="71">
        <v>9000000</v>
      </c>
      <c r="H255" s="80">
        <f t="shared" si="68"/>
        <v>9450000</v>
      </c>
      <c r="I255" s="80">
        <f t="shared" si="64"/>
        <v>9922500</v>
      </c>
    </row>
    <row r="256" ht="42" customHeight="1" spans="1:9">
      <c r="A256" s="94"/>
      <c r="B256" s="197"/>
      <c r="C256" s="203" t="s">
        <v>777</v>
      </c>
      <c r="D256" s="204"/>
      <c r="E256" s="48"/>
      <c r="F256" s="93"/>
      <c r="G256" s="71">
        <v>1500000</v>
      </c>
      <c r="H256" s="80">
        <f t="shared" si="68"/>
        <v>1575000</v>
      </c>
      <c r="I256" s="80">
        <f t="shared" si="64"/>
        <v>1653750</v>
      </c>
    </row>
    <row r="257" ht="6" customHeight="1" spans="1:9">
      <c r="A257" s="95"/>
      <c r="B257" s="197"/>
      <c r="C257" s="198"/>
      <c r="D257" s="205"/>
      <c r="F257" s="93">
        <f>D257+E257</f>
        <v>0</v>
      </c>
      <c r="G257" s="71"/>
      <c r="H257" s="80">
        <f t="shared" si="68"/>
        <v>0</v>
      </c>
      <c r="I257" s="80">
        <f t="shared" si="64"/>
        <v>0</v>
      </c>
    </row>
    <row r="258" spans="1:9">
      <c r="A258" s="97" t="s">
        <v>162</v>
      </c>
      <c r="B258" s="98"/>
      <c r="C258" s="99"/>
      <c r="D258" s="200">
        <f>D254+D257</f>
        <v>10000000</v>
      </c>
      <c r="E258" s="201">
        <f>E254+E257</f>
        <v>0</v>
      </c>
      <c r="F258" s="202">
        <f>F254+F257</f>
        <v>10000000</v>
      </c>
      <c r="G258" s="200">
        <f>G256+G255</f>
        <v>10500000</v>
      </c>
      <c r="H258" s="200">
        <f t="shared" ref="H258:I258" si="71">H256+H255</f>
        <v>11025000</v>
      </c>
      <c r="I258" s="200">
        <f t="shared" si="71"/>
        <v>11576250</v>
      </c>
    </row>
    <row r="259" spans="1:9">
      <c r="A259" s="206"/>
      <c r="B259" s="207"/>
      <c r="C259" s="207"/>
      <c r="D259" s="207"/>
      <c r="F259" s="93"/>
      <c r="G259" s="71"/>
      <c r="H259" s="80"/>
      <c r="I259" s="80"/>
    </row>
    <row r="260" spans="1:9">
      <c r="A260" s="208"/>
      <c r="B260" s="209" t="s">
        <v>778</v>
      </c>
      <c r="C260" s="210"/>
      <c r="D260" s="210"/>
      <c r="F260" s="83"/>
      <c r="G260" s="117"/>
      <c r="H260" s="86"/>
      <c r="I260" s="86"/>
    </row>
    <row r="261" ht="37.5" customHeight="1" spans="1:9">
      <c r="A261" s="211"/>
      <c r="B261" s="197" t="s">
        <v>303</v>
      </c>
      <c r="C261" s="198" t="s">
        <v>779</v>
      </c>
      <c r="D261" s="199"/>
      <c r="F261" s="93"/>
      <c r="G261" s="71">
        <v>375895000</v>
      </c>
      <c r="H261" s="80">
        <f t="shared" si="68"/>
        <v>394689750</v>
      </c>
      <c r="I261" s="80">
        <f t="shared" si="64"/>
        <v>414424237.5</v>
      </c>
    </row>
    <row r="262" spans="1:9">
      <c r="A262" s="97" t="s">
        <v>162</v>
      </c>
      <c r="B262" s="98"/>
      <c r="C262" s="99"/>
      <c r="D262" s="200" t="e">
        <f>#REF!</f>
        <v>#REF!</v>
      </c>
      <c r="F262" s="212">
        <v>0</v>
      </c>
      <c r="G262" s="213">
        <f>SUM(G261:G261)</f>
        <v>375895000</v>
      </c>
      <c r="H262" s="213">
        <f>SUM(H261:H261)</f>
        <v>394689750</v>
      </c>
      <c r="I262" s="213">
        <f>SUM(I261:I261)</f>
        <v>414424237.5</v>
      </c>
    </row>
    <row r="263" spans="1:9">
      <c r="A263" s="206"/>
      <c r="B263" s="207"/>
      <c r="C263" s="207"/>
      <c r="D263" s="207"/>
      <c r="F263" s="93">
        <f>D263+E263</f>
        <v>0</v>
      </c>
      <c r="G263" s="71"/>
      <c r="H263" s="80" t="s">
        <v>780</v>
      </c>
      <c r="I263" s="80"/>
    </row>
    <row r="264" s="47" customFormat="1" ht="36" customHeight="1" spans="1:9">
      <c r="A264" s="214"/>
      <c r="B264" s="215" t="s">
        <v>557</v>
      </c>
      <c r="C264" s="216"/>
      <c r="D264" s="217" t="e">
        <f>D30+D40+D71+D92+D110+D120+D160+D170+D174+D187+#REF!+D221+D238+D251+D258+D262+D33</f>
        <v>#REF!</v>
      </c>
      <c r="E264" s="218" t="e">
        <f>E30+E40+E71+E92+E110+E120+E160+E170+E174+E187+#REF!+E221+E238+E251+E258+E262+E33</f>
        <v>#REF!</v>
      </c>
      <c r="F264" s="217">
        <f>F30+F40+F71+F92+F110+F120+F160+F170+F174+F187+F212+F221+F238+F251+F258+F262+F33</f>
        <v>3242196723.46</v>
      </c>
      <c r="G264" s="217">
        <f>G30+G40+G71+G92+G110+G120+G160+G170+G174+G187+G212+G221+G238+G251+G258+G262+G33</f>
        <v>3828918848</v>
      </c>
      <c r="H264" s="219">
        <f>H30+H40+H71+H92+H110+H120+H160+H170+H174+H187+H212+H221+H238+H251+H258+H262+H33</f>
        <v>3946864790.95</v>
      </c>
      <c r="I264" s="219">
        <f>I30+I40+I71+I92+I110+I120+I160+I170+I174+I187+I212+I221+I238+I251+I258+I262+I33</f>
        <v>4259474771.6475</v>
      </c>
    </row>
    <row r="265" spans="1:9">
      <c r="A265" s="220"/>
      <c r="B265" s="221"/>
      <c r="C265" s="221"/>
      <c r="D265" s="222"/>
      <c r="E265" s="223"/>
      <c r="F265" s="222"/>
      <c r="G265" s="222"/>
      <c r="H265" s="222"/>
      <c r="I265" s="222"/>
    </row>
    <row r="266" spans="1:9">
      <c r="A266" s="220"/>
      <c r="B266" s="221"/>
      <c r="C266" s="221"/>
      <c r="D266" s="222"/>
      <c r="E266" s="223"/>
      <c r="F266" s="222"/>
      <c r="G266" s="222"/>
      <c r="H266" s="222"/>
      <c r="I266" s="222"/>
    </row>
    <row r="267" ht="22.8" spans="2:9">
      <c r="B267" s="224"/>
      <c r="C267" s="225"/>
      <c r="D267" s="222"/>
      <c r="E267" s="223"/>
      <c r="F267" s="222"/>
      <c r="G267" s="222"/>
      <c r="H267" s="222"/>
      <c r="I267" s="222"/>
    </row>
    <row r="268" ht="22.8" spans="2:9">
      <c r="B268" s="224"/>
      <c r="C268" s="226"/>
      <c r="D268" s="222"/>
      <c r="E268" s="223"/>
      <c r="F268" s="222"/>
      <c r="G268" s="222"/>
      <c r="H268" s="222"/>
      <c r="I268" s="222"/>
    </row>
    <row r="269" ht="22.8" spans="2:9">
      <c r="B269" s="224"/>
      <c r="C269" s="225"/>
      <c r="D269" s="222"/>
      <c r="E269" s="223"/>
      <c r="F269" s="222"/>
      <c r="G269" s="222"/>
      <c r="H269" s="222"/>
      <c r="I269" s="222"/>
    </row>
    <row r="270" ht="22.8" spans="1:9">
      <c r="A270" s="220"/>
      <c r="B270" s="48"/>
      <c r="C270" s="226"/>
      <c r="D270" s="222"/>
      <c r="E270" s="223"/>
      <c r="F270" s="222"/>
      <c r="G270" s="222"/>
      <c r="H270" s="222"/>
      <c r="I270" s="222"/>
    </row>
    <row r="271" spans="2:4">
      <c r="B271" s="227"/>
      <c r="C271" s="227"/>
      <c r="D271" s="206"/>
    </row>
    <row r="272" ht="20.1" customHeight="1" spans="1:9">
      <c r="A272" s="82"/>
      <c r="B272" s="228"/>
      <c r="C272" s="229" t="s">
        <v>781</v>
      </c>
      <c r="D272" s="230"/>
      <c r="E272" s="152"/>
      <c r="F272" s="231"/>
      <c r="G272" s="232">
        <f>G264</f>
        <v>3828918848</v>
      </c>
      <c r="H272" s="233">
        <f>H264</f>
        <v>3946864790.95</v>
      </c>
      <c r="I272" s="233">
        <f>I264</f>
        <v>4259474771.6475</v>
      </c>
    </row>
    <row r="273" ht="20.1" customHeight="1" spans="1:9">
      <c r="A273" s="82"/>
      <c r="B273" s="228"/>
      <c r="C273" s="229" t="s">
        <v>782</v>
      </c>
      <c r="D273" s="96"/>
      <c r="E273" s="152"/>
      <c r="F273" s="80"/>
      <c r="G273" s="80">
        <f>'Reccurrent Budget'!H765</f>
        <v>7887826592</v>
      </c>
      <c r="H273" s="232">
        <f>'Reccurrent Budget'!I765</f>
        <v>8147817921.6</v>
      </c>
      <c r="I273" s="232">
        <f>'Reccurrent Budget'!J765</f>
        <v>8439158258.055</v>
      </c>
    </row>
    <row r="274" ht="20.1" customHeight="1" spans="1:9">
      <c r="A274" s="82"/>
      <c r="B274" s="234"/>
      <c r="C274" s="235" t="s">
        <v>783</v>
      </c>
      <c r="D274" s="96"/>
      <c r="E274" s="152"/>
      <c r="F274" s="231"/>
      <c r="G274" s="231">
        <f>SUM(G272:G273)</f>
        <v>11716745440</v>
      </c>
      <c r="H274" s="232">
        <f>SUM(H272:H273)</f>
        <v>12094682712.55</v>
      </c>
      <c r="I274" s="232">
        <f>SUM(I272:I273)</f>
        <v>12698633029.7025</v>
      </c>
    </row>
    <row r="275" spans="1:9">
      <c r="A275" s="82"/>
      <c r="B275" s="132"/>
      <c r="C275" s="236" t="s">
        <v>784</v>
      </c>
      <c r="D275" s="237"/>
      <c r="E275" s="152"/>
      <c r="F275" s="238"/>
      <c r="G275" s="231">
        <f>Revenues!H24</f>
        <v>11716745440</v>
      </c>
      <c r="H275" s="232">
        <f>Revenues!I24</f>
        <v>12094682712.55</v>
      </c>
      <c r="I275" s="232">
        <f>Revenues!J24</f>
        <v>12698633029.6975</v>
      </c>
    </row>
    <row r="276" spans="1:9">
      <c r="A276" s="82"/>
      <c r="B276" s="132"/>
      <c r="C276" s="236" t="s">
        <v>785</v>
      </c>
      <c r="D276" s="96"/>
      <c r="E276" s="152"/>
      <c r="F276" s="82"/>
      <c r="G276" s="239">
        <f>G275-G274</f>
        <v>0</v>
      </c>
      <c r="H276" s="232">
        <f>H275-H274</f>
        <v>0</v>
      </c>
      <c r="I276" s="232">
        <f>I275-I274</f>
        <v>-0.00499916076660156</v>
      </c>
    </row>
    <row r="277" spans="8:9">
      <c r="H277" s="233"/>
      <c r="I277" s="233"/>
    </row>
    <row r="278" spans="3:9">
      <c r="C278" s="48" t="s">
        <v>786</v>
      </c>
      <c r="F278" s="240"/>
      <c r="G278" s="240">
        <f>(G264/G274)*100</f>
        <v>32.6790307735831</v>
      </c>
      <c r="H278" s="232">
        <f>(H264/H274)*100</f>
        <v>32.6330577225854</v>
      </c>
      <c r="I278" s="232">
        <f>(I264/I274)*100</f>
        <v>33.5427818229289</v>
      </c>
    </row>
    <row r="279" spans="3:9">
      <c r="C279" s="48" t="s">
        <v>787</v>
      </c>
      <c r="F279" s="241"/>
      <c r="G279" s="242"/>
      <c r="H279" s="82"/>
      <c r="I279" s="82"/>
    </row>
    <row r="280" spans="8:9">
      <c r="H280" s="82"/>
      <c r="I280" s="82"/>
    </row>
    <row r="281" spans="8:9">
      <c r="H281" s="82"/>
      <c r="I281" s="82"/>
    </row>
    <row r="283" spans="8:10">
      <c r="H283" s="243"/>
      <c r="J283" s="244"/>
    </row>
  </sheetData>
  <mergeCells count="106">
    <mergeCell ref="A23:C23"/>
    <mergeCell ref="A24:D24"/>
    <mergeCell ref="B25:D25"/>
    <mergeCell ref="A30:C30"/>
    <mergeCell ref="B35:D35"/>
    <mergeCell ref="A40:C40"/>
    <mergeCell ref="A41:D41"/>
    <mergeCell ref="B42:D42"/>
    <mergeCell ref="A71:C71"/>
    <mergeCell ref="A72:D72"/>
    <mergeCell ref="A92:C92"/>
    <mergeCell ref="A93:D93"/>
    <mergeCell ref="B94:D94"/>
    <mergeCell ref="A110:C110"/>
    <mergeCell ref="A111:D111"/>
    <mergeCell ref="B112:D112"/>
    <mergeCell ref="A120:C120"/>
    <mergeCell ref="A121:D121"/>
    <mergeCell ref="B122:D122"/>
    <mergeCell ref="A160:C160"/>
    <mergeCell ref="A161:D161"/>
    <mergeCell ref="B162:D162"/>
    <mergeCell ref="B170:C170"/>
    <mergeCell ref="A171:D171"/>
    <mergeCell ref="B172:D172"/>
    <mergeCell ref="A174:C174"/>
    <mergeCell ref="A175:D175"/>
    <mergeCell ref="B176:D176"/>
    <mergeCell ref="A187:C187"/>
    <mergeCell ref="A188:D188"/>
    <mergeCell ref="B189:D189"/>
    <mergeCell ref="C212:E212"/>
    <mergeCell ref="B214:D214"/>
    <mergeCell ref="A221:C221"/>
    <mergeCell ref="A222:D222"/>
    <mergeCell ref="B223:D223"/>
    <mergeCell ref="A238:C238"/>
    <mergeCell ref="A239:D239"/>
    <mergeCell ref="A251:C251"/>
    <mergeCell ref="A252:D252"/>
    <mergeCell ref="A258:C258"/>
    <mergeCell ref="B259:D259"/>
    <mergeCell ref="B260:D260"/>
    <mergeCell ref="A262:C262"/>
    <mergeCell ref="B263:D263"/>
    <mergeCell ref="B264:C264"/>
    <mergeCell ref="A26:A28"/>
    <mergeCell ref="A36:A39"/>
    <mergeCell ref="A43:A44"/>
    <mergeCell ref="A46:A56"/>
    <mergeCell ref="A57:A61"/>
    <mergeCell ref="A63:A70"/>
    <mergeCell ref="A74:A76"/>
    <mergeCell ref="A78:A84"/>
    <mergeCell ref="A85:A88"/>
    <mergeCell ref="A89:A90"/>
    <mergeCell ref="A95:A99"/>
    <mergeCell ref="A100:A102"/>
    <mergeCell ref="A103:A104"/>
    <mergeCell ref="A105:A109"/>
    <mergeCell ref="A113:A116"/>
    <mergeCell ref="A117:A119"/>
    <mergeCell ref="A123:A126"/>
    <mergeCell ref="A127:A138"/>
    <mergeCell ref="A139:A159"/>
    <mergeCell ref="A163:A167"/>
    <mergeCell ref="A168:A169"/>
    <mergeCell ref="A178:A181"/>
    <mergeCell ref="A184:A186"/>
    <mergeCell ref="A191:A211"/>
    <mergeCell ref="A215:A220"/>
    <mergeCell ref="A224:A236"/>
    <mergeCell ref="A241:A250"/>
    <mergeCell ref="A254:A257"/>
    <mergeCell ref="B26:B28"/>
    <mergeCell ref="B36:B39"/>
    <mergeCell ref="B43:B44"/>
    <mergeCell ref="B46:B56"/>
    <mergeCell ref="B60:B61"/>
    <mergeCell ref="B63:B64"/>
    <mergeCell ref="B66:B69"/>
    <mergeCell ref="B74:B76"/>
    <mergeCell ref="B85:B88"/>
    <mergeCell ref="B89:B90"/>
    <mergeCell ref="B103:B104"/>
    <mergeCell ref="B105:B109"/>
    <mergeCell ref="B113:B116"/>
    <mergeCell ref="B117:B119"/>
    <mergeCell ref="B123:B126"/>
    <mergeCell ref="B127:B133"/>
    <mergeCell ref="B134:B136"/>
    <mergeCell ref="B139:B159"/>
    <mergeCell ref="B163:B165"/>
    <mergeCell ref="B168:B169"/>
    <mergeCell ref="B184:B186"/>
    <mergeCell ref="B190:B196"/>
    <mergeCell ref="B197:B201"/>
    <mergeCell ref="B203:B204"/>
    <mergeCell ref="B205:B206"/>
    <mergeCell ref="B208:B209"/>
    <mergeCell ref="B210:B211"/>
    <mergeCell ref="B215:B220"/>
    <mergeCell ref="B241:B250"/>
    <mergeCell ref="B254:B257"/>
    <mergeCell ref="D4:D5"/>
    <mergeCell ref="E4:E5"/>
  </mergeCells>
  <conditionalFormatting sqref="D4">
    <cfRule type="cellIs" dxfId="0" priority="8" operator="lessThan">
      <formula>0</formula>
    </cfRule>
    <cfRule type="cellIs" dxfId="0" priority="9" stopIfTrue="1" operator="lessThan">
      <formula>0</formula>
    </cfRule>
    <cfRule type="cellIs" dxfId="0" priority="10" operator="lessThan">
      <formula>0</formula>
    </cfRule>
  </conditionalFormatting>
  <conditionalFormatting sqref="G6">
    <cfRule type="cellIs" dxfId="1" priority="81" operator="greaterThan">
      <formula>#REF!</formula>
    </cfRule>
  </conditionalFormatting>
  <conditionalFormatting sqref="G4:G5">
    <cfRule type="cellIs" dxfId="0" priority="5" operator="lessThan">
      <formula>0</formula>
    </cfRule>
    <cfRule type="cellIs" dxfId="0" priority="6" stopIfTrue="1" operator="lessThan">
      <formula>0</formula>
    </cfRule>
    <cfRule type="cellIs" dxfId="0" priority="7" operator="lessThan">
      <formula>0</formula>
    </cfRule>
  </conditionalFormatting>
  <pageMargins left="0.708661417322835" right="0.708661417322835" top="0.748031496062992" bottom="0.748031496062992" header="0.31496062992126" footer="0.31496062992126"/>
  <pageSetup paperSize="9" scale="59" fitToHeight="0" orientation="landscape"/>
  <headerFooter>
    <oddFooter>&amp;LMurang'a County Government&amp;CPage &amp;P of &amp;N</oddFooter>
  </headerFooter>
  <rowBreaks count="5" manualBreakCount="5">
    <brk id="40" max="8" man="1"/>
    <brk id="93" max="8" man="1"/>
    <brk id="139" max="8" man="1"/>
    <brk id="199" max="8" man="1"/>
    <brk id="23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D21"/>
  <sheetViews>
    <sheetView workbookViewId="0">
      <selection activeCell="B3" sqref="B3:D21"/>
    </sheetView>
  </sheetViews>
  <sheetFormatPr defaultColWidth="9.13888888888889" defaultRowHeight="14.4" outlineLevelCol="3"/>
  <cols>
    <col min="2" max="2" width="54.1388888888889" customWidth="1"/>
    <col min="3" max="4" width="16.8518518518519" customWidth="1"/>
  </cols>
  <sheetData>
    <row r="3" spans="2:4">
      <c r="B3" s="39" t="s">
        <v>38</v>
      </c>
      <c r="C3" s="39" t="s">
        <v>788</v>
      </c>
      <c r="D3" s="39" t="s">
        <v>789</v>
      </c>
    </row>
    <row r="4" spans="2:4">
      <c r="B4" s="40" t="s">
        <v>46</v>
      </c>
      <c r="C4" s="41">
        <v>314084209</v>
      </c>
      <c r="D4" s="41">
        <v>10000000</v>
      </c>
    </row>
    <row r="5" spans="2:4">
      <c r="B5" s="40" t="s">
        <v>48</v>
      </c>
      <c r="C5" s="41">
        <v>816710947</v>
      </c>
      <c r="D5" s="41">
        <v>30000000</v>
      </c>
    </row>
    <row r="6" spans="2:4">
      <c r="B6" s="40" t="s">
        <v>49</v>
      </c>
      <c r="C6" s="41">
        <v>344358969</v>
      </c>
      <c r="D6" s="41">
        <v>33000000</v>
      </c>
    </row>
    <row r="7" spans="2:4">
      <c r="B7" s="40" t="s">
        <v>51</v>
      </c>
      <c r="C7" s="41">
        <v>304644858</v>
      </c>
      <c r="D7" s="41">
        <v>623233198</v>
      </c>
    </row>
    <row r="8" spans="2:4">
      <c r="B8" s="40" t="s">
        <v>53</v>
      </c>
      <c r="C8" s="41">
        <v>36347435</v>
      </c>
      <c r="D8" s="41">
        <v>1427408897</v>
      </c>
    </row>
    <row r="9" spans="2:4">
      <c r="B9" s="40" t="s">
        <v>55</v>
      </c>
      <c r="C9" s="41">
        <v>46750000</v>
      </c>
      <c r="D9" s="41">
        <v>183000000</v>
      </c>
    </row>
    <row r="10" spans="2:4">
      <c r="B10" s="40" t="s">
        <v>57</v>
      </c>
      <c r="C10" s="41">
        <v>715323424</v>
      </c>
      <c r="D10" s="41">
        <v>36500000</v>
      </c>
    </row>
    <row r="11" spans="2:4">
      <c r="B11" s="40" t="s">
        <v>59</v>
      </c>
      <c r="C11" s="41">
        <v>3426645088</v>
      </c>
      <c r="D11" s="41">
        <v>401672527</v>
      </c>
    </row>
    <row r="12" spans="2:4">
      <c r="B12" s="40" t="s">
        <v>61</v>
      </c>
      <c r="C12" s="41">
        <v>52062983</v>
      </c>
      <c r="D12" s="41">
        <v>17000000</v>
      </c>
    </row>
    <row r="13" spans="2:4">
      <c r="B13" s="40" t="s">
        <v>63</v>
      </c>
      <c r="C13" s="41">
        <v>28844175</v>
      </c>
      <c r="D13" s="41">
        <f>0</f>
        <v>0</v>
      </c>
    </row>
    <row r="14" spans="2:4">
      <c r="B14" s="40" t="s">
        <v>65</v>
      </c>
      <c r="C14" s="41">
        <v>92798723</v>
      </c>
      <c r="D14" s="41">
        <v>167800000</v>
      </c>
    </row>
    <row r="15" spans="2:4">
      <c r="B15" s="40" t="s">
        <v>67</v>
      </c>
      <c r="C15" s="41">
        <v>122820066</v>
      </c>
      <c r="D15" s="41">
        <v>338659226</v>
      </c>
    </row>
    <row r="16" spans="2:4">
      <c r="B16" s="40" t="s">
        <v>69</v>
      </c>
      <c r="C16" s="41">
        <v>1414173110</v>
      </c>
      <c r="D16" s="41">
        <v>20000000</v>
      </c>
    </row>
    <row r="17" spans="2:4">
      <c r="B17" s="40" t="s">
        <v>71</v>
      </c>
      <c r="C17" s="41">
        <v>62962595</v>
      </c>
      <c r="D17" s="41">
        <v>81000000</v>
      </c>
    </row>
    <row r="18" spans="2:4">
      <c r="B18" s="40" t="s">
        <v>73</v>
      </c>
      <c r="C18" s="41">
        <v>26550010</v>
      </c>
      <c r="D18" s="41">
        <v>73250000</v>
      </c>
    </row>
    <row r="19" spans="2:4">
      <c r="B19" s="40" t="s">
        <v>75</v>
      </c>
      <c r="C19" s="41">
        <v>26050000</v>
      </c>
      <c r="D19" s="41">
        <v>10500000</v>
      </c>
    </row>
    <row r="20" spans="2:4">
      <c r="B20" s="40" t="s">
        <v>77</v>
      </c>
      <c r="C20" s="41">
        <v>56700000</v>
      </c>
      <c r="D20" s="41">
        <v>375895000</v>
      </c>
    </row>
    <row r="21" spans="2:4">
      <c r="B21" s="42" t="s">
        <v>527</v>
      </c>
      <c r="C21" s="43">
        <f>SUM(C4:C20)</f>
        <v>7887826592</v>
      </c>
      <c r="D21" s="43">
        <f>SUM(D4:D20)</f>
        <v>3828918848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view="pageBreakPreview" zoomScale="90" zoomScalePageLayoutView="108" zoomScaleNormal="100" workbookViewId="0">
      <selection activeCell="H20" sqref="H6:H20"/>
    </sheetView>
  </sheetViews>
  <sheetFormatPr defaultColWidth="9.13888888888889" defaultRowHeight="21"/>
  <cols>
    <col min="1" max="1" width="7.42592592592593" style="2" customWidth="1"/>
    <col min="2" max="2" width="88.5740740740741" style="3" customWidth="1"/>
    <col min="3" max="3" width="25.287037037037" style="3" hidden="1" customWidth="1"/>
    <col min="4" max="4" width="24.4259259259259" style="3" hidden="1" customWidth="1"/>
    <col min="5" max="5" width="0.138888888888889" style="3" customWidth="1"/>
    <col min="6" max="7" width="29" style="3" hidden="1" customWidth="1"/>
    <col min="8" max="8" width="24.4259259259259" style="4" customWidth="1"/>
    <col min="9" max="9" width="28.8518518518519" style="5" customWidth="1"/>
    <col min="10" max="10" width="25.712962962963" style="6" customWidth="1"/>
    <col min="11" max="11" width="15.5740740740741" style="3" customWidth="1"/>
    <col min="12" max="13" width="21.8518518518519" style="3" customWidth="1"/>
    <col min="14" max="16384" width="9.13888888888889" style="3"/>
  </cols>
  <sheetData>
    <row r="1" spans="1:10">
      <c r="A1" s="7" t="s">
        <v>0</v>
      </c>
      <c r="B1" s="7"/>
      <c r="C1" s="7"/>
      <c r="D1" s="7"/>
      <c r="E1" s="7"/>
      <c r="F1" s="7"/>
      <c r="G1" s="7"/>
      <c r="H1" s="7"/>
      <c r="I1" s="31"/>
      <c r="J1" s="32"/>
    </row>
    <row r="2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46.5" customHeight="1" spans="1:10">
      <c r="A3" s="9"/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12" t="s">
        <v>9</v>
      </c>
      <c r="J3" s="33" t="s">
        <v>10</v>
      </c>
    </row>
    <row r="4" spans="1:11">
      <c r="A4" s="13">
        <v>1</v>
      </c>
      <c r="B4" s="14" t="s">
        <v>11</v>
      </c>
      <c r="C4" s="15">
        <v>7753474531</v>
      </c>
      <c r="D4" s="15">
        <v>-241607500</v>
      </c>
      <c r="E4" s="15">
        <f>C4+D4</f>
        <v>7511867031</v>
      </c>
      <c r="F4" s="15">
        <v>7845839172</v>
      </c>
      <c r="G4" s="15">
        <v>8139999909</v>
      </c>
      <c r="H4" s="15">
        <v>8039755314</v>
      </c>
      <c r="I4" s="15">
        <v>9122244994</v>
      </c>
      <c r="J4" s="34">
        <v>9696668064</v>
      </c>
      <c r="K4" s="3" t="s">
        <v>790</v>
      </c>
    </row>
    <row r="5" spans="1:13">
      <c r="A5" s="13">
        <v>2</v>
      </c>
      <c r="B5" s="14" t="s">
        <v>12</v>
      </c>
      <c r="C5" s="15">
        <f>597902936</f>
        <v>597902936</v>
      </c>
      <c r="D5" s="15">
        <v>133780632</v>
      </c>
      <c r="E5" s="15">
        <f>C5+D5</f>
        <v>731683568</v>
      </c>
      <c r="F5" s="15">
        <f>385000000</f>
        <v>385000000</v>
      </c>
      <c r="G5" s="16">
        <f>385000000</f>
        <v>385000000</v>
      </c>
      <c r="H5" s="15">
        <f>600000000</f>
        <v>600000000</v>
      </c>
      <c r="I5" s="15">
        <f>92052693.6</f>
        <v>92052693.6</v>
      </c>
      <c r="J5" s="34">
        <f>95871509.6</f>
        <v>95871509.6</v>
      </c>
      <c r="K5" s="4" t="s">
        <v>790</v>
      </c>
      <c r="L5" s="35">
        <v>92052693.6000004</v>
      </c>
      <c r="M5" s="35">
        <v>95871509.6049995</v>
      </c>
    </row>
    <row r="6" spans="1:11">
      <c r="A6" s="13">
        <v>3</v>
      </c>
      <c r="B6" s="14" t="s">
        <v>13</v>
      </c>
      <c r="C6" s="15">
        <v>20000000</v>
      </c>
      <c r="D6" s="15"/>
      <c r="E6" s="15">
        <f>C6+D6</f>
        <v>20000000</v>
      </c>
      <c r="F6" s="15">
        <v>20000000</v>
      </c>
      <c r="G6" s="16">
        <v>20000000</v>
      </c>
      <c r="H6" s="17">
        <v>20000000</v>
      </c>
      <c r="I6" s="15">
        <f>H6*1.05</f>
        <v>21000000</v>
      </c>
      <c r="J6" s="34">
        <f>I6*1.05</f>
        <v>22050000</v>
      </c>
      <c r="K6" s="3" t="s">
        <v>791</v>
      </c>
    </row>
    <row r="7" spans="1:11">
      <c r="A7" s="13">
        <v>4</v>
      </c>
      <c r="B7" s="18" t="s">
        <v>14</v>
      </c>
      <c r="C7" s="15">
        <v>110729613</v>
      </c>
      <c r="D7" s="15"/>
      <c r="E7" s="15">
        <f>C7+D7</f>
        <v>110729613</v>
      </c>
      <c r="F7" s="15">
        <v>137000000</v>
      </c>
      <c r="G7" s="15">
        <v>137000000</v>
      </c>
      <c r="H7" s="15">
        <f>E7</f>
        <v>110729613</v>
      </c>
      <c r="I7" s="15">
        <f>H7*1.05</f>
        <v>116266093.65</v>
      </c>
      <c r="J7" s="34">
        <f>I7*1.05</f>
        <v>122079398.3325</v>
      </c>
      <c r="K7" s="3" t="s">
        <v>791</v>
      </c>
    </row>
    <row r="8" ht="40.8" spans="1:11">
      <c r="A8" s="13">
        <v>5</v>
      </c>
      <c r="B8" s="19" t="s">
        <v>15</v>
      </c>
      <c r="C8" s="15"/>
      <c r="D8" s="15"/>
      <c r="E8" s="17">
        <f>0</f>
        <v>0</v>
      </c>
      <c r="F8" s="15"/>
      <c r="G8" s="15"/>
      <c r="H8" s="15">
        <f>80729613</f>
        <v>80729613</v>
      </c>
      <c r="I8" s="17">
        <f>0</f>
        <v>0</v>
      </c>
      <c r="J8" s="36">
        <f>0</f>
        <v>0</v>
      </c>
      <c r="K8" s="3" t="s">
        <v>791</v>
      </c>
    </row>
    <row r="9" spans="1:11">
      <c r="A9" s="13">
        <v>7</v>
      </c>
      <c r="B9" s="18" t="s">
        <v>17</v>
      </c>
      <c r="C9" s="15">
        <v>270941894</v>
      </c>
      <c r="D9" s="15"/>
      <c r="E9" s="15">
        <f t="shared" ref="E9:E15" si="0">C9+D9</f>
        <v>270941894</v>
      </c>
      <c r="F9" s="15">
        <v>270941894</v>
      </c>
      <c r="G9" s="15">
        <v>270941894</v>
      </c>
      <c r="H9" s="20">
        <v>270941894</v>
      </c>
      <c r="I9" s="15">
        <f t="shared" ref="I9:J11" si="1">H9*1.05</f>
        <v>284488988.7</v>
      </c>
      <c r="J9" s="34">
        <f t="shared" si="1"/>
        <v>298713438.135</v>
      </c>
      <c r="K9" s="3" t="s">
        <v>791</v>
      </c>
    </row>
    <row r="10" spans="1:11">
      <c r="A10" s="13">
        <v>8</v>
      </c>
      <c r="B10" s="18" t="s">
        <v>18</v>
      </c>
      <c r="C10" s="15">
        <v>0</v>
      </c>
      <c r="D10" s="15"/>
      <c r="E10" s="15">
        <f t="shared" si="0"/>
        <v>0</v>
      </c>
      <c r="F10" s="15">
        <v>71972000</v>
      </c>
      <c r="G10" s="15">
        <v>71972000</v>
      </c>
      <c r="H10" s="20">
        <v>56993611</v>
      </c>
      <c r="I10" s="15">
        <f t="shared" si="1"/>
        <v>59843291.55</v>
      </c>
      <c r="J10" s="34">
        <f t="shared" si="1"/>
        <v>62835456.1275</v>
      </c>
      <c r="K10" s="3" t="s">
        <v>791</v>
      </c>
    </row>
    <row r="11" spans="1:11">
      <c r="A11" s="13">
        <v>9</v>
      </c>
      <c r="B11" s="18" t="s">
        <v>19</v>
      </c>
      <c r="C11" s="15">
        <v>46050000</v>
      </c>
      <c r="D11" s="15"/>
      <c r="E11" s="15">
        <f t="shared" si="0"/>
        <v>46050000</v>
      </c>
      <c r="F11" s="15">
        <v>53191489</v>
      </c>
      <c r="G11" s="16">
        <v>53191489</v>
      </c>
      <c r="H11" s="15">
        <f>E11</f>
        <v>46050000</v>
      </c>
      <c r="I11" s="15">
        <f t="shared" si="1"/>
        <v>48352500</v>
      </c>
      <c r="J11" s="34">
        <f t="shared" si="1"/>
        <v>50770125</v>
      </c>
      <c r="K11" s="3" t="s">
        <v>791</v>
      </c>
    </row>
    <row r="12" spans="1:11">
      <c r="A12" s="13">
        <v>10</v>
      </c>
      <c r="B12" s="19" t="s">
        <v>20</v>
      </c>
      <c r="C12" s="15">
        <v>9701250</v>
      </c>
      <c r="D12" s="15"/>
      <c r="E12" s="15">
        <f t="shared" si="0"/>
        <v>9701250</v>
      </c>
      <c r="F12" s="15">
        <v>8452250</v>
      </c>
      <c r="G12" s="16">
        <v>6952250</v>
      </c>
      <c r="H12" s="15">
        <f>E12</f>
        <v>9701250</v>
      </c>
      <c r="I12" s="15">
        <v>9701250</v>
      </c>
      <c r="J12" s="34">
        <v>9701250</v>
      </c>
      <c r="K12" s="3" t="s">
        <v>791</v>
      </c>
    </row>
    <row r="13" spans="1:11">
      <c r="A13" s="13">
        <v>11</v>
      </c>
      <c r="B13" s="19" t="s">
        <v>21</v>
      </c>
      <c r="C13" s="15">
        <v>0</v>
      </c>
      <c r="D13" s="15"/>
      <c r="E13" s="17">
        <f t="shared" si="0"/>
        <v>0</v>
      </c>
      <c r="F13" s="15"/>
      <c r="G13" s="16"/>
      <c r="H13" s="17">
        <v>70740842</v>
      </c>
      <c r="I13" s="15">
        <f t="shared" ref="I13:J15" si="2">H13*1.05</f>
        <v>74277884.1</v>
      </c>
      <c r="J13" s="34">
        <f t="shared" si="2"/>
        <v>77991778.305</v>
      </c>
      <c r="K13" s="3" t="s">
        <v>791</v>
      </c>
    </row>
    <row r="14" spans="1:11">
      <c r="A14" s="13">
        <v>12</v>
      </c>
      <c r="B14" s="19" t="s">
        <v>22</v>
      </c>
      <c r="C14" s="15">
        <v>10918919</v>
      </c>
      <c r="D14" s="15"/>
      <c r="E14" s="15">
        <f t="shared" si="0"/>
        <v>10918919</v>
      </c>
      <c r="F14" s="15">
        <v>10918919</v>
      </c>
      <c r="G14" s="15">
        <v>10918919</v>
      </c>
      <c r="H14" s="15">
        <f>E14</f>
        <v>10918919</v>
      </c>
      <c r="I14" s="15">
        <f t="shared" si="2"/>
        <v>11464864.95</v>
      </c>
      <c r="J14" s="34">
        <f t="shared" si="2"/>
        <v>12038108.1975</v>
      </c>
      <c r="K14" s="3" t="s">
        <v>791</v>
      </c>
    </row>
    <row r="15" spans="1:11">
      <c r="A15" s="13">
        <v>13</v>
      </c>
      <c r="B15" s="19" t="s">
        <v>23</v>
      </c>
      <c r="C15" s="15">
        <v>37500000</v>
      </c>
      <c r="D15" s="15">
        <v>0</v>
      </c>
      <c r="E15" s="15">
        <f t="shared" si="0"/>
        <v>37500000</v>
      </c>
      <c r="F15" s="15">
        <v>170000000</v>
      </c>
      <c r="G15" s="15">
        <v>200000000</v>
      </c>
      <c r="H15" s="15">
        <v>37500000</v>
      </c>
      <c r="I15" s="15">
        <f t="shared" si="2"/>
        <v>39375000</v>
      </c>
      <c r="J15" s="34">
        <f t="shared" si="2"/>
        <v>41343750</v>
      </c>
      <c r="K15" s="3" t="s">
        <v>791</v>
      </c>
    </row>
    <row r="16" spans="1:11">
      <c r="A16" s="13">
        <v>14</v>
      </c>
      <c r="B16" s="19" t="s">
        <v>24</v>
      </c>
      <c r="C16" s="15"/>
      <c r="D16" s="21"/>
      <c r="E16" s="15"/>
      <c r="F16" s="15"/>
      <c r="G16" s="15"/>
      <c r="H16" s="15">
        <v>352500000</v>
      </c>
      <c r="I16" s="17">
        <f>0</f>
        <v>0</v>
      </c>
      <c r="J16" s="34">
        <f>0</f>
        <v>0</v>
      </c>
      <c r="K16" s="3" t="s">
        <v>791</v>
      </c>
    </row>
    <row r="17" spans="1:11">
      <c r="A17" s="13">
        <v>15</v>
      </c>
      <c r="B17" s="19" t="s">
        <v>25</v>
      </c>
      <c r="C17" s="15">
        <v>151515152</v>
      </c>
      <c r="D17" s="21"/>
      <c r="E17" s="15">
        <f t="shared" ref="E17:E23" si="3">C17+D17</f>
        <v>151515152</v>
      </c>
      <c r="F17" s="15">
        <v>151515152</v>
      </c>
      <c r="G17" s="15">
        <v>151515152</v>
      </c>
      <c r="H17" s="15">
        <f>E17</f>
        <v>151515152</v>
      </c>
      <c r="I17" s="15">
        <v>151515152</v>
      </c>
      <c r="J17" s="34">
        <v>151515152</v>
      </c>
      <c r="K17" s="3" t="s">
        <v>791</v>
      </c>
    </row>
    <row r="18" spans="1:11">
      <c r="A18" s="13">
        <v>16</v>
      </c>
      <c r="B18" s="19" t="s">
        <v>26</v>
      </c>
      <c r="C18" s="15">
        <v>35000000</v>
      </c>
      <c r="D18" s="15"/>
      <c r="E18" s="15">
        <f t="shared" si="3"/>
        <v>35000000</v>
      </c>
      <c r="F18" s="15">
        <v>31500000</v>
      </c>
      <c r="G18" s="16">
        <v>31500000</v>
      </c>
      <c r="H18" s="15">
        <v>28000000</v>
      </c>
      <c r="I18" s="15">
        <f>H18*1.05</f>
        <v>29400000</v>
      </c>
      <c r="J18" s="34">
        <f>I18*1.05</f>
        <v>30870000</v>
      </c>
      <c r="K18" s="3" t="s">
        <v>791</v>
      </c>
    </row>
    <row r="19" spans="1:11">
      <c r="A19" s="13">
        <v>17</v>
      </c>
      <c r="B19" s="19" t="s">
        <v>27</v>
      </c>
      <c r="C19" s="15">
        <v>70743658</v>
      </c>
      <c r="D19" s="15"/>
      <c r="E19" s="15">
        <f t="shared" si="3"/>
        <v>70743658</v>
      </c>
      <c r="F19" s="15">
        <v>70000000</v>
      </c>
      <c r="G19" s="15">
        <v>70000000</v>
      </c>
      <c r="H19" s="15">
        <v>124000000</v>
      </c>
      <c r="I19" s="15">
        <f>H19*1.05</f>
        <v>130200000</v>
      </c>
      <c r="J19" s="34">
        <f>I19*1.05</f>
        <v>136710000</v>
      </c>
      <c r="K19" s="3" t="s">
        <v>791</v>
      </c>
    </row>
    <row r="20" spans="1:11">
      <c r="A20" s="13">
        <v>20</v>
      </c>
      <c r="B20" s="18" t="s">
        <v>30</v>
      </c>
      <c r="C20" s="15">
        <v>100000000</v>
      </c>
      <c r="D20" s="15"/>
      <c r="E20" s="15">
        <f t="shared" si="3"/>
        <v>100000000</v>
      </c>
      <c r="F20" s="15">
        <v>100000000</v>
      </c>
      <c r="G20" s="16">
        <v>100000000</v>
      </c>
      <c r="H20" s="15">
        <v>100000000</v>
      </c>
      <c r="I20" s="15">
        <f>H20*1.05</f>
        <v>105000000</v>
      </c>
      <c r="J20" s="34">
        <v>0</v>
      </c>
      <c r="K20" s="3" t="s">
        <v>791</v>
      </c>
    </row>
    <row r="21" s="1" customFormat="1" spans="1:11">
      <c r="A21" s="22">
        <v>18</v>
      </c>
      <c r="B21" s="23" t="s">
        <v>28</v>
      </c>
      <c r="C21" s="24">
        <v>1250000000</v>
      </c>
      <c r="D21" s="24">
        <v>350000000</v>
      </c>
      <c r="E21" s="24">
        <f t="shared" si="3"/>
        <v>1600000000</v>
      </c>
      <c r="F21" s="24">
        <v>1400000000</v>
      </c>
      <c r="G21" s="25">
        <v>1605000000</v>
      </c>
      <c r="H21" s="24">
        <v>1416669232</v>
      </c>
      <c r="I21" s="24">
        <v>1600000000</v>
      </c>
      <c r="J21" s="34">
        <f>I21*1.05</f>
        <v>1680000000</v>
      </c>
      <c r="K21" s="1" t="s">
        <v>792</v>
      </c>
    </row>
    <row r="22" spans="1:11">
      <c r="A22" s="13">
        <v>19</v>
      </c>
      <c r="B22" s="18" t="s">
        <v>29</v>
      </c>
      <c r="C22" s="15">
        <f>20000000</f>
        <v>20000000</v>
      </c>
      <c r="D22" s="15"/>
      <c r="E22" s="15">
        <f t="shared" si="3"/>
        <v>20000000</v>
      </c>
      <c r="F22" s="15"/>
      <c r="G22" s="16"/>
      <c r="H22" s="15">
        <v>190000000</v>
      </c>
      <c r="I22" s="15">
        <f>H22*1.05</f>
        <v>199500000</v>
      </c>
      <c r="J22" s="34">
        <f>I22*1.05</f>
        <v>209475000</v>
      </c>
      <c r="K22" s="3" t="s">
        <v>792</v>
      </c>
    </row>
    <row r="23" spans="1:10">
      <c r="A23" s="13">
        <v>6</v>
      </c>
      <c r="B23" s="18" t="s">
        <v>16</v>
      </c>
      <c r="C23" s="15">
        <v>17000000</v>
      </c>
      <c r="D23" s="15"/>
      <c r="E23" s="15">
        <f t="shared" si="3"/>
        <v>17000000</v>
      </c>
      <c r="F23" s="15">
        <v>0</v>
      </c>
      <c r="G23" s="16">
        <v>0</v>
      </c>
      <c r="H23" s="20">
        <v>0</v>
      </c>
      <c r="I23" s="17">
        <f>H23*1.05</f>
        <v>0</v>
      </c>
      <c r="J23" s="36">
        <f>I23*1.05</f>
        <v>0</v>
      </c>
    </row>
    <row r="24" spans="1:10">
      <c r="A24" s="26"/>
      <c r="B24" s="27" t="s">
        <v>31</v>
      </c>
      <c r="C24" s="28">
        <f t="shared" ref="C24:J24" si="4">SUM(C4:C23)</f>
        <v>10501477953</v>
      </c>
      <c r="D24" s="28">
        <f t="shared" si="4"/>
        <v>242173132</v>
      </c>
      <c r="E24" s="28">
        <f t="shared" si="4"/>
        <v>10743651085</v>
      </c>
      <c r="F24" s="28">
        <f t="shared" si="4"/>
        <v>10726330876</v>
      </c>
      <c r="G24" s="28">
        <f t="shared" si="4"/>
        <v>11253991613</v>
      </c>
      <c r="H24" s="15">
        <f t="shared" si="4"/>
        <v>11716745440</v>
      </c>
      <c r="I24" s="15">
        <f t="shared" si="4"/>
        <v>12094682712.55</v>
      </c>
      <c r="J24" s="37">
        <f t="shared" si="4"/>
        <v>12698633029.6975</v>
      </c>
    </row>
    <row r="25" spans="8:8">
      <c r="H25" s="29">
        <v>3828918848</v>
      </c>
    </row>
    <row r="26" spans="8:9">
      <c r="H26" s="30">
        <f>H25/H24</f>
        <v>0.326790307735831</v>
      </c>
      <c r="I26" s="38"/>
    </row>
  </sheetData>
  <sortState ref="A4:K23">
    <sortCondition ref="K4:K23"/>
  </sortState>
  <mergeCells count="1">
    <mergeCell ref="A2:J2"/>
  </mergeCells>
  <pageMargins left="0.7" right="0.7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Revenues</vt:lpstr>
      <vt:lpstr>Reccurrent Budget</vt:lpstr>
      <vt:lpstr>Development Budget</vt:lpstr>
      <vt:lpstr>Sheet2</vt:lpstr>
      <vt:lpstr>Revenues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REVENUE</dc:creator>
  <cp:lastModifiedBy>ICT</cp:lastModifiedBy>
  <dcterms:created xsi:type="dcterms:W3CDTF">2024-04-23T16:05:00Z</dcterms:created>
  <cp:lastPrinted>2025-07-31T13:37:00Z</cp:lastPrinted>
  <dcterms:modified xsi:type="dcterms:W3CDTF">2025-12-05T13:18:29Z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5DB40B0922D747399B7E1962B2F931BB_13</vt:lpwstr>
  </property>
  <property fmtid="{D5CDD505-2E9C-101B-9397-08002B2CF9AE}" pid="3" name="KSOProductBuildVer">
    <vt:lpwstr>1033-12.2.0.23155</vt:lpwstr>
  </property>
</Properties>
</file>